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siapartners1-my.sharepoint.com/personal/solene_pigne_sia-partners_com/Documents/Documents/Formation H2 PDL/Livrables finaux - Mail/"/>
    </mc:Choice>
  </mc:AlternateContent>
  <xr:revisionPtr revIDLastSave="8963" documentId="13_ncr:1_{DC023239-A29D-45D1-B9A3-F480FEBC6D98}" xr6:coauthVersionLast="47" xr6:coauthVersionMax="47" xr10:uidLastSave="{493AC832-0EA4-49E4-9D18-0ADA4ED4B258}"/>
  <bookViews>
    <workbookView xWindow="3765" yWindow="-13620" windowWidth="21840" windowHeight="13140" firstSheet="3" activeTab="6" xr2:uid="{A67E7E45-C309-4257-AF0E-D35CB1EF6A5F}"/>
  </bookViews>
  <sheets>
    <sheet name="Introduction" sheetId="7" r:id="rId1"/>
    <sheet name="1-Hypothèses" sheetId="3" r:id="rId2"/>
    <sheet name="2- Contenu des modules " sheetId="8" r:id="rId3"/>
    <sheet name="3-Catalogue - Volume" sheetId="5" r:id="rId4"/>
    <sheet name="4-Catalogue - Adaptation" sheetId="6" r:id="rId5"/>
    <sheet name=" 5-Ambition 4" sheetId="10" r:id="rId6"/>
    <sheet name="Annexe - Volume" sheetId="1" r:id="rId7"/>
    <sheet name="Annexe - Contenu" sheetId="2" r:id="rId8"/>
  </sheets>
  <definedNames>
    <definedName name="_xlnm._FilterDatabase" localSheetId="7" hidden="1">'Annexe - Contenu'!$C$15:$C$65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6" l="1"/>
  <c r="F25" i="2"/>
  <c r="F84" i="1"/>
  <c r="D92" i="1"/>
  <c r="F72" i="1"/>
  <c r="F69" i="1"/>
  <c r="F68" i="1"/>
  <c r="E56" i="2"/>
  <c r="E58" i="1"/>
  <c r="B11" i="10" l="1"/>
  <c r="B8" i="10"/>
  <c r="B36" i="5" l="1"/>
  <c r="E112" i="1"/>
  <c r="B36" i="6"/>
  <c r="E104" i="2"/>
  <c r="U30" i="2" l="1" a="1"/>
  <c r="U30" i="2" s="1"/>
  <c r="E63" i="2" l="1"/>
  <c r="E62" i="2"/>
  <c r="E61" i="2"/>
  <c r="F61" i="2" s="1"/>
  <c r="B7" i="6"/>
  <c r="E12" i="2"/>
  <c r="E17" i="1"/>
  <c r="E11" i="2"/>
  <c r="E10" i="2"/>
  <c r="B6" i="6"/>
  <c r="E8" i="2"/>
  <c r="E9" i="2"/>
  <c r="B4" i="6"/>
  <c r="E74" i="1"/>
  <c r="E73" i="1"/>
  <c r="E72" i="1"/>
  <c r="E65" i="1"/>
  <c r="B8" i="5" l="1"/>
  <c r="B7" i="5"/>
  <c r="B6" i="5"/>
  <c r="B5" i="5"/>
  <c r="B4" i="5"/>
  <c r="E15" i="1"/>
  <c r="E14" i="1"/>
  <c r="E4" i="1"/>
  <c r="E11" i="1"/>
  <c r="E10" i="1"/>
  <c r="E9" i="1"/>
  <c r="E8" i="1"/>
  <c r="E13" i="2"/>
  <c r="E19" i="1"/>
  <c r="E18" i="1"/>
  <c r="E12" i="1"/>
  <c r="E7" i="1"/>
  <c r="E6" i="1"/>
  <c r="E5" i="1"/>
  <c r="B8" i="6" l="1"/>
  <c r="B37" i="6"/>
  <c r="B26" i="5"/>
  <c r="E70" i="1"/>
  <c r="E69" i="1"/>
  <c r="E68" i="1"/>
  <c r="B10" i="5"/>
  <c r="B9" i="5"/>
  <c r="E21" i="1"/>
  <c r="E22" i="1"/>
  <c r="B15" i="6"/>
  <c r="B20" i="5"/>
  <c r="B34" i="5" l="1"/>
  <c r="B5" i="3"/>
  <c r="D110" i="2"/>
  <c r="D112" i="2"/>
  <c r="D113" i="2"/>
  <c r="D114" i="2"/>
  <c r="D105" i="2"/>
  <c r="D100" i="2"/>
  <c r="D94" i="2"/>
  <c r="D91" i="2"/>
  <c r="D90" i="2"/>
  <c r="D89" i="2"/>
  <c r="D88" i="2"/>
  <c r="D81" i="2"/>
  <c r="D80" i="2"/>
  <c r="D77" i="2"/>
  <c r="D75" i="2"/>
  <c r="D74" i="2"/>
  <c r="D72" i="2"/>
  <c r="D101" i="2"/>
  <c r="D84" i="2"/>
  <c r="D78" i="2"/>
  <c r="D70" i="2"/>
  <c r="E116"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5" i="2"/>
  <c r="E106" i="2"/>
  <c r="E107" i="2"/>
  <c r="E108" i="2"/>
  <c r="E109" i="2"/>
  <c r="E110" i="2"/>
  <c r="E111" i="2"/>
  <c r="E112" i="2"/>
  <c r="E113" i="2"/>
  <c r="E114" i="2"/>
  <c r="E115" i="2"/>
  <c r="E67" i="2"/>
  <c r="D67" i="2"/>
  <c r="E121" i="1"/>
  <c r="E122" i="1"/>
  <c r="E123" i="1"/>
  <c r="E124" i="1"/>
  <c r="D122" i="1"/>
  <c r="D121" i="1"/>
  <c r="E116" i="1"/>
  <c r="E117" i="1"/>
  <c r="E118" i="1"/>
  <c r="E119" i="1"/>
  <c r="E120" i="1"/>
  <c r="D120" i="1"/>
  <c r="D118" i="1"/>
  <c r="E103" i="1"/>
  <c r="E104" i="1"/>
  <c r="E105" i="1"/>
  <c r="F105" i="1" s="1"/>
  <c r="E106" i="1"/>
  <c r="E107" i="1"/>
  <c r="E96" i="1"/>
  <c r="E97" i="1"/>
  <c r="E98" i="1"/>
  <c r="E99" i="1"/>
  <c r="E100" i="1"/>
  <c r="E101" i="1"/>
  <c r="E102" i="1"/>
  <c r="D96" i="1"/>
  <c r="D97" i="1"/>
  <c r="D99" i="1"/>
  <c r="D102" i="1"/>
  <c r="D98" i="1"/>
  <c r="F104" i="1" l="1"/>
  <c r="F5" i="1"/>
  <c r="F112" i="1"/>
  <c r="F104" i="2"/>
  <c r="F7" i="2"/>
  <c r="F5" i="2"/>
  <c r="F12" i="2"/>
  <c r="F17" i="1"/>
  <c r="F9" i="2"/>
  <c r="F13" i="1"/>
  <c r="F65" i="1"/>
  <c r="F9" i="1"/>
  <c r="F6" i="1"/>
  <c r="F8" i="1"/>
  <c r="F12" i="1"/>
  <c r="F10" i="1"/>
  <c r="F14" i="1"/>
  <c r="F7" i="1"/>
  <c r="F15" i="1"/>
  <c r="F11" i="1"/>
  <c r="F103" i="1"/>
  <c r="F107" i="1"/>
  <c r="B39" i="6"/>
  <c r="B38" i="6"/>
  <c r="F71" i="1"/>
  <c r="B33" i="6"/>
  <c r="F20" i="1"/>
  <c r="F32" i="2"/>
  <c r="F21" i="1"/>
  <c r="F22" i="1"/>
  <c r="F49" i="1"/>
  <c r="F118" i="1"/>
  <c r="B28" i="6"/>
  <c r="B33" i="5"/>
  <c r="B15" i="10" s="1"/>
  <c r="B39" i="5"/>
  <c r="B38" i="5"/>
  <c r="F102" i="2"/>
  <c r="F94" i="2"/>
  <c r="F86" i="2"/>
  <c r="F78" i="2"/>
  <c r="F116" i="1"/>
  <c r="F93" i="2"/>
  <c r="F85" i="2"/>
  <c r="F69" i="2"/>
  <c r="F107" i="2"/>
  <c r="F98" i="2"/>
  <c r="F82" i="2"/>
  <c r="F91" i="2"/>
  <c r="F112" i="2"/>
  <c r="F92" i="2"/>
  <c r="F97" i="2"/>
  <c r="F108" i="2"/>
  <c r="F89" i="2"/>
  <c r="F124" i="1"/>
  <c r="F106" i="2"/>
  <c r="F73" i="2"/>
  <c r="F99" i="2"/>
  <c r="F83" i="2"/>
  <c r="F116" i="2"/>
  <c r="F101" i="1"/>
  <c r="F96" i="2"/>
  <c r="F100" i="1"/>
  <c r="F103" i="2"/>
  <c r="F95" i="2"/>
  <c r="F87" i="2"/>
  <c r="F71" i="2"/>
  <c r="F75" i="2"/>
  <c r="F76" i="2"/>
  <c r="F105" i="2"/>
  <c r="F84" i="2"/>
  <c r="F79" i="2"/>
  <c r="F100" i="2"/>
  <c r="F110" i="2"/>
  <c r="F77" i="2"/>
  <c r="F111" i="2"/>
  <c r="F101" i="2"/>
  <c r="F80" i="2"/>
  <c r="F70" i="2"/>
  <c r="F68" i="2"/>
  <c r="F81" i="2"/>
  <c r="F109" i="2"/>
  <c r="F67" i="2"/>
  <c r="F72" i="2"/>
  <c r="F88" i="2"/>
  <c r="F115" i="2"/>
  <c r="F74" i="2"/>
  <c r="F114" i="2"/>
  <c r="F90" i="2"/>
  <c r="F113" i="2"/>
  <c r="F99" i="1"/>
  <c r="F98" i="1"/>
  <c r="F117" i="1"/>
  <c r="F121" i="1"/>
  <c r="F97" i="1"/>
  <c r="F119" i="1"/>
  <c r="F123" i="1"/>
  <c r="F120" i="1"/>
  <c r="F102" i="1"/>
  <c r="F122" i="1"/>
  <c r="F96" i="1"/>
  <c r="E90" i="1" l="1"/>
  <c r="F90" i="1" s="1"/>
  <c r="E91" i="1"/>
  <c r="F91" i="1" s="1"/>
  <c r="E92" i="1"/>
  <c r="E93" i="1"/>
  <c r="E94" i="1"/>
  <c r="F94" i="1" s="1"/>
  <c r="E95" i="1"/>
  <c r="F95" i="1" s="1"/>
  <c r="B32" i="5" l="1"/>
  <c r="B14" i="10" s="1"/>
  <c r="B32" i="6"/>
  <c r="F92" i="1"/>
  <c r="F93" i="1"/>
  <c r="E84" i="1"/>
  <c r="E85" i="1"/>
  <c r="E86" i="1"/>
  <c r="E87" i="1"/>
  <c r="E88" i="1"/>
  <c r="E89" i="1"/>
  <c r="D89" i="1"/>
  <c r="B31" i="6" s="1"/>
  <c r="D88" i="1"/>
  <c r="D85" i="1"/>
  <c r="D86" i="1"/>
  <c r="E79" i="1"/>
  <c r="E80" i="1"/>
  <c r="E81" i="1"/>
  <c r="E82" i="1"/>
  <c r="E83" i="1"/>
  <c r="E78" i="1"/>
  <c r="D83" i="1"/>
  <c r="D82" i="1"/>
  <c r="D80" i="1"/>
  <c r="D78" i="1"/>
  <c r="E115" i="1"/>
  <c r="E113" i="1"/>
  <c r="E114" i="1"/>
  <c r="F114" i="1" s="1"/>
  <c r="D108" i="1"/>
  <c r="B34" i="6" s="1"/>
  <c r="D113" i="1"/>
  <c r="B37" i="5" s="1"/>
  <c r="B16" i="10" s="1"/>
  <c r="E109" i="1"/>
  <c r="E110" i="1"/>
  <c r="F110" i="1" s="1"/>
  <c r="E111" i="1"/>
  <c r="F111" i="1" s="1"/>
  <c r="E108" i="1"/>
  <c r="D109" i="1"/>
  <c r="B25" i="6"/>
  <c r="B24" i="6"/>
  <c r="B23" i="6"/>
  <c r="B21" i="6"/>
  <c r="F43" i="2"/>
  <c r="B20" i="6"/>
  <c r="B19" i="6"/>
  <c r="B18" i="6"/>
  <c r="B17" i="6"/>
  <c r="E47" i="2"/>
  <c r="B35" i="6" l="1"/>
  <c r="B30" i="6"/>
  <c r="B29" i="6"/>
  <c r="B30" i="5"/>
  <c r="B35" i="5"/>
  <c r="B29" i="5"/>
  <c r="B13" i="10" s="1"/>
  <c r="B31" i="5"/>
  <c r="F85" i="1"/>
  <c r="F88" i="1"/>
  <c r="F89" i="1"/>
  <c r="F87" i="1"/>
  <c r="F86" i="1"/>
  <c r="F83" i="1"/>
  <c r="F80" i="1"/>
  <c r="F82" i="1"/>
  <c r="F79" i="1"/>
  <c r="F78" i="1"/>
  <c r="F81" i="1"/>
  <c r="F115" i="1"/>
  <c r="F113" i="1"/>
  <c r="F108" i="1"/>
  <c r="F109" i="1"/>
  <c r="F44" i="2"/>
  <c r="F41" i="2"/>
  <c r="F42" i="2"/>
  <c r="E42" i="1"/>
  <c r="E40" i="2"/>
  <c r="F40" i="2" s="1"/>
  <c r="E41" i="1"/>
  <c r="F37" i="2"/>
  <c r="E38" i="2"/>
  <c r="F38" i="2" s="1"/>
  <c r="B16" i="6"/>
  <c r="B14" i="6"/>
  <c r="B13" i="6"/>
  <c r="B12" i="6"/>
  <c r="H103" i="1" l="1"/>
  <c r="P103" i="1" s="1"/>
  <c r="B11" i="6"/>
  <c r="I103" i="1" l="1"/>
  <c r="B10" i="6"/>
  <c r="B25" i="5" l="1"/>
  <c r="B23" i="5"/>
  <c r="E53" i="1"/>
  <c r="B22" i="5"/>
  <c r="B21" i="5"/>
  <c r="B19" i="5"/>
  <c r="B18" i="5"/>
  <c r="B10" i="10" s="1"/>
  <c r="B17" i="5"/>
  <c r="B16" i="5"/>
  <c r="B9" i="10" s="1"/>
  <c r="B15" i="5"/>
  <c r="B14" i="5"/>
  <c r="B7" i="10" s="1"/>
  <c r="B13" i="5"/>
  <c r="B6" i="10" s="1"/>
  <c r="E45" i="2" l="1"/>
  <c r="F45" i="2" s="1"/>
  <c r="F56" i="2"/>
  <c r="E55" i="2"/>
  <c r="F55" i="2" s="1"/>
  <c r="E54" i="2"/>
  <c r="F54" i="2" s="1"/>
  <c r="E53" i="2"/>
  <c r="F53" i="2" s="1"/>
  <c r="F52" i="2"/>
  <c r="F51" i="2"/>
  <c r="E50" i="2"/>
  <c r="F50" i="2" s="1"/>
  <c r="E49" i="2"/>
  <c r="F49" i="2" s="1"/>
  <c r="E48" i="2"/>
  <c r="F48" i="2" s="1"/>
  <c r="B22" i="6" s="1"/>
  <c r="F59" i="2"/>
  <c r="E60" i="2"/>
  <c r="F60" i="2" s="1"/>
  <c r="E34" i="2"/>
  <c r="F34" i="2" s="1"/>
  <c r="E33" i="2"/>
  <c r="F33" i="2" s="1"/>
  <c r="F31" i="2"/>
  <c r="F30" i="2"/>
  <c r="F48" i="1"/>
  <c r="F47" i="1"/>
  <c r="E26" i="2"/>
  <c r="E18" i="2"/>
  <c r="E17" i="2"/>
  <c r="E19" i="2"/>
  <c r="E22" i="2"/>
  <c r="F22" i="2" s="1"/>
  <c r="F26" i="2" l="1"/>
  <c r="E15" i="2" l="1"/>
  <c r="F15" i="2" s="1"/>
  <c r="E32" i="1"/>
  <c r="E61" i="1"/>
  <c r="D62" i="1"/>
  <c r="B24" i="5" s="1"/>
  <c r="E39" i="1"/>
  <c r="F39" i="1" s="1"/>
  <c r="E55" i="1"/>
  <c r="F55" i="1" s="1"/>
  <c r="E60" i="1"/>
  <c r="F60" i="1" s="1"/>
  <c r="E67" i="1"/>
  <c r="F38" i="1"/>
  <c r="F53" i="1"/>
  <c r="F54" i="1"/>
  <c r="F58" i="1"/>
  <c r="F66" i="1"/>
  <c r="E52" i="1"/>
  <c r="F52" i="1" s="1"/>
  <c r="E51" i="1"/>
  <c r="F51" i="1" s="1"/>
  <c r="E45" i="1"/>
  <c r="F45" i="1" s="1"/>
  <c r="E44" i="1"/>
  <c r="E43" i="1"/>
  <c r="F43" i="1" s="1"/>
  <c r="F42" i="1"/>
  <c r="E35" i="1"/>
  <c r="F35" i="1" s="1"/>
  <c r="E27" i="1"/>
  <c r="F27" i="1" s="1"/>
  <c r="E63" i="1"/>
  <c r="F63" i="1" s="1"/>
  <c r="E57" i="1"/>
  <c r="F57" i="1" s="1"/>
  <c r="E50" i="1"/>
  <c r="F50" i="1" s="1"/>
  <c r="F41" i="1"/>
  <c r="E56" i="1"/>
  <c r="F56" i="1" s="1"/>
  <c r="E30" i="1"/>
  <c r="F30" i="1" s="1"/>
  <c r="E25" i="1"/>
  <c r="F25" i="1" s="1"/>
  <c r="E31" i="1"/>
  <c r="F31" i="1" s="1"/>
  <c r="E24" i="1"/>
  <c r="F24" i="1" l="1"/>
  <c r="F62" i="1"/>
  <c r="F13" i="2"/>
  <c r="E16" i="1"/>
  <c r="F8" i="2"/>
  <c r="F10" i="2"/>
  <c r="F11" i="2"/>
  <c r="F18" i="1"/>
  <c r="F16" i="1" l="1"/>
  <c r="E28" i="2"/>
  <c r="F28" i="2" s="1"/>
  <c r="E36" i="2"/>
  <c r="E46" i="1"/>
  <c r="F46" i="1" s="1"/>
  <c r="E29" i="2"/>
  <c r="F29" i="2" s="1"/>
  <c r="E58" i="2"/>
  <c r="E35" i="2"/>
  <c r="F35" i="2" s="1"/>
  <c r="E24" i="2"/>
  <c r="E23" i="2"/>
  <c r="E36" i="1"/>
  <c r="F36" i="1" s="1"/>
  <c r="E26" i="1"/>
  <c r="F26" i="1" s="1"/>
  <c r="E16" i="2"/>
  <c r="E37" i="1"/>
  <c r="F37" i="1" s="1"/>
  <c r="F4" i="1"/>
  <c r="F36" i="2" l="1"/>
  <c r="F58" i="2"/>
  <c r="F24" i="2"/>
  <c r="F16" i="2"/>
  <c r="F23" i="2"/>
  <c r="F6" i="2" l="1"/>
  <c r="B5" i="6" s="1"/>
  <c r="F4" i="2" l="1"/>
  <c r="O113" i="2" l="1"/>
  <c r="P113" i="2"/>
  <c r="K115" i="2"/>
  <c r="L115" i="2" s="1"/>
  <c r="K123" i="1"/>
  <c r="O116" i="2"/>
  <c r="P116" i="2"/>
  <c r="K116" i="2"/>
  <c r="L116" i="2" s="1"/>
  <c r="K124" i="1"/>
  <c r="P114" i="2"/>
  <c r="O114" i="2"/>
  <c r="I58" i="2"/>
  <c r="H67" i="1"/>
  <c r="H66" i="1"/>
  <c r="I66" i="1" s="1"/>
  <c r="I60" i="2"/>
  <c r="I59" i="2"/>
  <c r="H65" i="1"/>
  <c r="K113" i="2"/>
  <c r="L113" i="2" s="1"/>
  <c r="K121" i="1"/>
  <c r="K114" i="2"/>
  <c r="L114" i="2" s="1"/>
  <c r="K122" i="1"/>
  <c r="Q123" i="1" l="1"/>
  <c r="L123" i="1"/>
  <c r="Q121" i="1"/>
  <c r="E39" i="5"/>
  <c r="F39" i="5" s="1"/>
  <c r="L121" i="1"/>
  <c r="P115" i="2"/>
  <c r="O115" i="2"/>
  <c r="L122" i="1"/>
  <c r="Q122" i="1"/>
  <c r="R113" i="2"/>
  <c r="M113" i="2"/>
  <c r="F39" i="6"/>
  <c r="G39" i="6" s="1"/>
  <c r="L60" i="2"/>
  <c r="K67" i="1"/>
  <c r="M115" i="2"/>
  <c r="R115" i="2"/>
  <c r="M114" i="2"/>
  <c r="R114" i="2"/>
  <c r="L58" i="2"/>
  <c r="H124" i="1"/>
  <c r="H116" i="2"/>
  <c r="I116" i="2" s="1"/>
  <c r="J59" i="2"/>
  <c r="Q59" i="2"/>
  <c r="M116" i="2"/>
  <c r="R116" i="2"/>
  <c r="K66" i="1"/>
  <c r="H123" i="1"/>
  <c r="H115" i="2"/>
  <c r="I115" i="2" s="1"/>
  <c r="P65" i="1"/>
  <c r="C25" i="5"/>
  <c r="D25" i="5" s="1"/>
  <c r="I65" i="1"/>
  <c r="H114" i="2"/>
  <c r="I114" i="2" s="1"/>
  <c r="H122" i="1"/>
  <c r="Q60" i="2"/>
  <c r="J60" i="2"/>
  <c r="K65" i="1"/>
  <c r="P67" i="1"/>
  <c r="Q58" i="2"/>
  <c r="J58" i="2"/>
  <c r="D25" i="6"/>
  <c r="E25" i="6" s="1"/>
  <c r="Q124" i="1"/>
  <c r="L124" i="1"/>
  <c r="H113" i="2"/>
  <c r="I113" i="2" s="1"/>
  <c r="H121" i="1"/>
  <c r="P66" i="1"/>
  <c r="L59" i="2"/>
  <c r="H12" i="1" l="1"/>
  <c r="H15" i="1"/>
  <c r="H13" i="1"/>
  <c r="H14" i="1"/>
  <c r="I37" i="2"/>
  <c r="H39" i="1"/>
  <c r="H38" i="1"/>
  <c r="I38" i="2"/>
  <c r="H37" i="1"/>
  <c r="K39" i="1"/>
  <c r="L38" i="2"/>
  <c r="K38" i="1"/>
  <c r="L37" i="2"/>
  <c r="K37" i="1"/>
  <c r="K13" i="1"/>
  <c r="K14" i="1"/>
  <c r="K15" i="1"/>
  <c r="K12" i="1"/>
  <c r="K39" i="6"/>
  <c r="I25" i="5"/>
  <c r="E25" i="5"/>
  <c r="F25" i="5" s="1"/>
  <c r="Q65" i="1"/>
  <c r="L65" i="1"/>
  <c r="R60" i="2"/>
  <c r="M60" i="2"/>
  <c r="M59" i="2"/>
  <c r="R59" i="2"/>
  <c r="J25" i="6"/>
  <c r="Q115" i="2"/>
  <c r="J115" i="2"/>
  <c r="Q116" i="2"/>
  <c r="J116" i="2"/>
  <c r="J39" i="5"/>
  <c r="Q113" i="2"/>
  <c r="D39" i="6"/>
  <c r="E39" i="6" s="1"/>
  <c r="J113" i="2"/>
  <c r="R58" i="2"/>
  <c r="M58" i="2"/>
  <c r="F25" i="6"/>
  <c r="G25" i="6" s="1"/>
  <c r="P122" i="1"/>
  <c r="I122" i="1"/>
  <c r="P123" i="1"/>
  <c r="I123" i="1"/>
  <c r="I124" i="1"/>
  <c r="P124" i="1"/>
  <c r="J114" i="2"/>
  <c r="Q114" i="2"/>
  <c r="I121" i="1"/>
  <c r="C39" i="5"/>
  <c r="D39" i="5" s="1"/>
  <c r="P121" i="1"/>
  <c r="L66" i="1"/>
  <c r="Q66" i="1"/>
  <c r="Q67" i="1"/>
  <c r="K16" i="1"/>
  <c r="J25" i="5" l="1"/>
  <c r="K9" i="1"/>
  <c r="K11" i="1"/>
  <c r="K10" i="1"/>
  <c r="K8" i="1"/>
  <c r="F17" i="6"/>
  <c r="G17" i="6" s="1"/>
  <c r="L36" i="2"/>
  <c r="D17" i="6"/>
  <c r="E17" i="6" s="1"/>
  <c r="I36" i="2"/>
  <c r="P13" i="1"/>
  <c r="I13" i="1"/>
  <c r="H16" i="1"/>
  <c r="M37" i="2"/>
  <c r="R37" i="2"/>
  <c r="P38" i="1"/>
  <c r="I38" i="1"/>
  <c r="I15" i="1"/>
  <c r="P15" i="1"/>
  <c r="L39" i="2"/>
  <c r="K41" i="1"/>
  <c r="K40" i="1"/>
  <c r="L40" i="2"/>
  <c r="L12" i="1"/>
  <c r="E6" i="5"/>
  <c r="F6" i="5" s="1"/>
  <c r="Q12" i="1"/>
  <c r="L38" i="1"/>
  <c r="Q38" i="1"/>
  <c r="I39" i="1"/>
  <c r="P39" i="1"/>
  <c r="P12" i="1"/>
  <c r="C6" i="5"/>
  <c r="D6" i="5" s="1"/>
  <c r="I12" i="1"/>
  <c r="K24" i="1"/>
  <c r="K26" i="1"/>
  <c r="K25" i="1"/>
  <c r="K27" i="1"/>
  <c r="Q16" i="1"/>
  <c r="L16" i="1"/>
  <c r="L15" i="1"/>
  <c r="Q15" i="1"/>
  <c r="M38" i="2"/>
  <c r="R38" i="2"/>
  <c r="J37" i="2"/>
  <c r="Q37" i="2"/>
  <c r="K7" i="1"/>
  <c r="K5" i="1"/>
  <c r="K6" i="1"/>
  <c r="K4" i="1"/>
  <c r="Q14" i="1"/>
  <c r="L14" i="1"/>
  <c r="L39" i="1"/>
  <c r="Q39" i="1"/>
  <c r="I40" i="2"/>
  <c r="H41" i="1"/>
  <c r="H40" i="1"/>
  <c r="I39" i="2"/>
  <c r="L13" i="1"/>
  <c r="Q13" i="1"/>
  <c r="H10" i="1"/>
  <c r="H9" i="1"/>
  <c r="H11" i="1"/>
  <c r="H8" i="1"/>
  <c r="P37" i="1"/>
  <c r="I37" i="1"/>
  <c r="C15" i="5"/>
  <c r="H34" i="1"/>
  <c r="H32" i="1"/>
  <c r="H30" i="1"/>
  <c r="H36" i="1"/>
  <c r="H31" i="1"/>
  <c r="H33" i="1"/>
  <c r="I33" i="1" s="1"/>
  <c r="H35" i="1"/>
  <c r="K35" i="1"/>
  <c r="K31" i="1"/>
  <c r="K32" i="1"/>
  <c r="K30" i="1"/>
  <c r="K36" i="1"/>
  <c r="K34" i="1"/>
  <c r="K33" i="1"/>
  <c r="L33" i="1" s="1"/>
  <c r="Q37" i="1"/>
  <c r="L37" i="1"/>
  <c r="E15" i="5"/>
  <c r="Q38" i="2"/>
  <c r="J38" i="2"/>
  <c r="I14" i="1"/>
  <c r="P14" i="1"/>
  <c r="K25" i="6"/>
  <c r="I39" i="5"/>
  <c r="J39" i="6"/>
  <c r="L44" i="2"/>
  <c r="K45" i="1"/>
  <c r="I44" i="2"/>
  <c r="H45" i="1"/>
  <c r="L28" i="2"/>
  <c r="I29" i="2" l="1"/>
  <c r="J29" i="2" s="1"/>
  <c r="J15" i="5"/>
  <c r="I15" i="5"/>
  <c r="I6" i="5"/>
  <c r="J6" i="5"/>
  <c r="O84" i="2"/>
  <c r="P84" i="2"/>
  <c r="P86" i="2"/>
  <c r="O86" i="2"/>
  <c r="Q36" i="1"/>
  <c r="L36" i="1"/>
  <c r="K83" i="2"/>
  <c r="L83" i="2" s="1"/>
  <c r="K91" i="1"/>
  <c r="Q40" i="2"/>
  <c r="J40" i="2"/>
  <c r="Q4" i="1"/>
  <c r="L4" i="1"/>
  <c r="E4" i="5"/>
  <c r="F4" i="5" s="1"/>
  <c r="H47" i="1"/>
  <c r="Q27" i="1"/>
  <c r="L27" i="1"/>
  <c r="Q41" i="1"/>
  <c r="L41" i="1"/>
  <c r="H92" i="1"/>
  <c r="H84" i="2"/>
  <c r="I84" i="2" s="1"/>
  <c r="H25" i="1"/>
  <c r="H24" i="1"/>
  <c r="H27" i="1"/>
  <c r="H26" i="1"/>
  <c r="I35" i="2"/>
  <c r="I33" i="2"/>
  <c r="I34" i="2"/>
  <c r="L33" i="2"/>
  <c r="L34" i="2"/>
  <c r="L35" i="2"/>
  <c r="Q30" i="1"/>
  <c r="E14" i="5"/>
  <c r="L30" i="1"/>
  <c r="I35" i="1"/>
  <c r="P35" i="1"/>
  <c r="C5" i="5"/>
  <c r="D5" i="5" s="1"/>
  <c r="I8" i="1"/>
  <c r="P8" i="1"/>
  <c r="L6" i="1"/>
  <c r="Q6" i="1"/>
  <c r="I30" i="2"/>
  <c r="L25" i="1"/>
  <c r="Q25" i="1"/>
  <c r="F18" i="6"/>
  <c r="G18" i="6" s="1"/>
  <c r="R39" i="2"/>
  <c r="H82" i="2"/>
  <c r="I82" i="2" s="1"/>
  <c r="H90" i="1"/>
  <c r="H7" i="1"/>
  <c r="H6" i="1"/>
  <c r="H5" i="1"/>
  <c r="H4" i="1"/>
  <c r="Q32" i="1"/>
  <c r="P33" i="1"/>
  <c r="P11" i="1"/>
  <c r="I11" i="1"/>
  <c r="L5" i="1"/>
  <c r="Q5" i="1"/>
  <c r="H49" i="1"/>
  <c r="L26" i="1"/>
  <c r="Q26" i="1"/>
  <c r="H86" i="2"/>
  <c r="I86" i="2" s="1"/>
  <c r="H94" i="1"/>
  <c r="Q36" i="2"/>
  <c r="J17" i="6" s="1"/>
  <c r="J36" i="2"/>
  <c r="E5" i="5"/>
  <c r="F5" i="5" s="1"/>
  <c r="Q8" i="1"/>
  <c r="L8" i="1"/>
  <c r="F15" i="5"/>
  <c r="E8" i="10"/>
  <c r="F8" i="10" s="1"/>
  <c r="L31" i="1"/>
  <c r="Q31" i="1"/>
  <c r="P31" i="1"/>
  <c r="I31" i="1"/>
  <c r="D15" i="5"/>
  <c r="C8" i="10"/>
  <c r="D8" i="10" s="1"/>
  <c r="I9" i="1"/>
  <c r="P9" i="1"/>
  <c r="K87" i="2"/>
  <c r="L87" i="2" s="1"/>
  <c r="K95" i="1"/>
  <c r="L7" i="1"/>
  <c r="Q7" i="1"/>
  <c r="I31" i="2"/>
  <c r="Q24" i="1"/>
  <c r="L24" i="1"/>
  <c r="H85" i="2"/>
  <c r="I85" i="2" s="1"/>
  <c r="H93" i="1"/>
  <c r="L10" i="1"/>
  <c r="Q10" i="1"/>
  <c r="L35" i="1"/>
  <c r="Q35" i="1"/>
  <c r="I36" i="1"/>
  <c r="P36" i="1"/>
  <c r="I10" i="1"/>
  <c r="P10" i="1"/>
  <c r="K82" i="2"/>
  <c r="L82" i="2" s="1"/>
  <c r="K90" i="1"/>
  <c r="I32" i="2"/>
  <c r="M36" i="2"/>
  <c r="R36" i="2"/>
  <c r="K17" i="6" s="1"/>
  <c r="L11" i="1"/>
  <c r="Q11" i="1"/>
  <c r="I30" i="1"/>
  <c r="C14" i="5"/>
  <c r="P30" i="1"/>
  <c r="K84" i="2"/>
  <c r="L84" i="2" s="1"/>
  <c r="K92" i="1"/>
  <c r="Q39" i="2"/>
  <c r="D18" i="6"/>
  <c r="E18" i="6" s="1"/>
  <c r="H46" i="1"/>
  <c r="Q9" i="1"/>
  <c r="L9" i="1"/>
  <c r="Q33" i="1"/>
  <c r="P32" i="1"/>
  <c r="K85" i="2"/>
  <c r="L85" i="2" s="1"/>
  <c r="K93" i="1"/>
  <c r="P40" i="1"/>
  <c r="C16" i="5"/>
  <c r="H48" i="1"/>
  <c r="R40" i="2"/>
  <c r="M40" i="2"/>
  <c r="H83" i="2"/>
  <c r="I83" i="2" s="1"/>
  <c r="H91" i="1"/>
  <c r="Q34" i="1"/>
  <c r="P34" i="1"/>
  <c r="K86" i="2"/>
  <c r="L86" i="2" s="1"/>
  <c r="K94" i="1"/>
  <c r="I41" i="1"/>
  <c r="P41" i="1"/>
  <c r="Q40" i="1"/>
  <c r="E16" i="5"/>
  <c r="H87" i="2"/>
  <c r="I87" i="2" s="1"/>
  <c r="H95" i="1"/>
  <c r="I16" i="1"/>
  <c r="P16" i="1"/>
  <c r="F13" i="6"/>
  <c r="G13" i="6" s="1"/>
  <c r="R28" i="2"/>
  <c r="M28" i="2"/>
  <c r="H44" i="1"/>
  <c r="L5" i="2"/>
  <c r="L4" i="2"/>
  <c r="I9" i="2"/>
  <c r="I8" i="2"/>
  <c r="O90" i="2"/>
  <c r="P90" i="2"/>
  <c r="K96" i="1"/>
  <c r="K88" i="2"/>
  <c r="L88" i="2" s="1"/>
  <c r="H101" i="1"/>
  <c r="H93" i="2"/>
  <c r="I93" i="2" s="1"/>
  <c r="I43" i="2"/>
  <c r="R44" i="2"/>
  <c r="M44" i="2"/>
  <c r="I5" i="2"/>
  <c r="I4" i="2"/>
  <c r="I28" i="2"/>
  <c r="K91" i="2"/>
  <c r="L91" i="2" s="1"/>
  <c r="K99" i="1"/>
  <c r="O92" i="2"/>
  <c r="P92" i="2"/>
  <c r="K98" i="1"/>
  <c r="K90" i="2"/>
  <c r="L90" i="2" s="1"/>
  <c r="H102" i="1"/>
  <c r="H94" i="2"/>
  <c r="I94" i="2" s="1"/>
  <c r="J44" i="2"/>
  <c r="Q44" i="2"/>
  <c r="K93" i="2"/>
  <c r="L93" i="2" s="1"/>
  <c r="K101" i="1"/>
  <c r="L45" i="1"/>
  <c r="Q45" i="1"/>
  <c r="L17" i="2"/>
  <c r="L16" i="2"/>
  <c r="L15" i="2"/>
  <c r="L18" i="2"/>
  <c r="I25" i="2"/>
  <c r="J25" i="2" s="1"/>
  <c r="I26" i="2"/>
  <c r="I24" i="2"/>
  <c r="K44" i="1"/>
  <c r="L25" i="2"/>
  <c r="M25" i="2" s="1"/>
  <c r="L24" i="2"/>
  <c r="L26" i="2"/>
  <c r="K89" i="2"/>
  <c r="L89" i="2" s="1"/>
  <c r="K97" i="1"/>
  <c r="H91" i="2"/>
  <c r="I91" i="2" s="1"/>
  <c r="H99" i="1"/>
  <c r="L43" i="2"/>
  <c r="H96" i="1"/>
  <c r="H88" i="2"/>
  <c r="I88" i="2" s="1"/>
  <c r="P94" i="2"/>
  <c r="O94" i="2"/>
  <c r="K102" i="1"/>
  <c r="K94" i="2"/>
  <c r="L94" i="2" s="1"/>
  <c r="H100" i="1"/>
  <c r="H92" i="2"/>
  <c r="I92" i="2" s="1"/>
  <c r="H90" i="2"/>
  <c r="I90" i="2" s="1"/>
  <c r="H98" i="1"/>
  <c r="I45" i="1"/>
  <c r="P45" i="1"/>
  <c r="I15" i="2"/>
  <c r="I18" i="2"/>
  <c r="I17" i="2"/>
  <c r="I16" i="2"/>
  <c r="L9" i="2"/>
  <c r="L8" i="2"/>
  <c r="K92" i="2"/>
  <c r="L92" i="2" s="1"/>
  <c r="K100" i="1"/>
  <c r="H89" i="2"/>
  <c r="I89" i="2" s="1"/>
  <c r="H97" i="1"/>
  <c r="L29" i="2"/>
  <c r="Q29" i="2" l="1"/>
  <c r="I14" i="5"/>
  <c r="J5" i="5"/>
  <c r="I5" i="5"/>
  <c r="J14" i="5"/>
  <c r="I16" i="5"/>
  <c r="R29" i="2"/>
  <c r="M29" i="2"/>
  <c r="O74" i="2"/>
  <c r="P74" i="2"/>
  <c r="O71" i="2"/>
  <c r="P71" i="2"/>
  <c r="H79" i="2"/>
  <c r="I79" i="2" s="1"/>
  <c r="H87" i="1"/>
  <c r="H80" i="1"/>
  <c r="H72" i="2"/>
  <c r="I72" i="2" s="1"/>
  <c r="J31" i="2"/>
  <c r="Q31" i="2"/>
  <c r="P94" i="1"/>
  <c r="I94" i="1"/>
  <c r="I7" i="1"/>
  <c r="P7" i="1"/>
  <c r="K80" i="1"/>
  <c r="K72" i="2"/>
  <c r="L72" i="2" s="1"/>
  <c r="I26" i="1"/>
  <c r="P26" i="1"/>
  <c r="H75" i="2"/>
  <c r="I75" i="2" s="1"/>
  <c r="H83" i="1"/>
  <c r="F16" i="5"/>
  <c r="E9" i="10" a="1"/>
  <c r="E9" i="10" s="1"/>
  <c r="F9" i="10" s="1"/>
  <c r="H82" i="1"/>
  <c r="H74" i="2"/>
  <c r="I74" i="2" s="1"/>
  <c r="P48" i="1"/>
  <c r="I48" i="1"/>
  <c r="H76" i="2"/>
  <c r="I76" i="2" s="1"/>
  <c r="H84" i="1"/>
  <c r="I84" i="1" s="1"/>
  <c r="P46" i="1"/>
  <c r="I46" i="1"/>
  <c r="C19" i="5"/>
  <c r="D19" i="5" s="1"/>
  <c r="D14" i="5"/>
  <c r="C7" i="10" a="1"/>
  <c r="C7" i="10" s="1"/>
  <c r="D7" i="10" s="1"/>
  <c r="O73" i="2"/>
  <c r="P73" i="2"/>
  <c r="J86" i="2"/>
  <c r="Q86" i="2"/>
  <c r="J30" i="2"/>
  <c r="Q30" i="2"/>
  <c r="K70" i="2"/>
  <c r="L70" i="2" s="1"/>
  <c r="K78" i="1"/>
  <c r="I27" i="1"/>
  <c r="P27" i="1"/>
  <c r="L32" i="2"/>
  <c r="H17" i="1"/>
  <c r="C7" i="5" s="1"/>
  <c r="D7" i="5" s="1"/>
  <c r="O82" i="2"/>
  <c r="P82" i="2"/>
  <c r="O83" i="2"/>
  <c r="P83" i="2"/>
  <c r="D16" i="5"/>
  <c r="C9" i="10" a="1"/>
  <c r="C9" i="10" s="1"/>
  <c r="D9" i="10" s="1"/>
  <c r="H78" i="2"/>
  <c r="I78" i="2" s="1"/>
  <c r="H86" i="1"/>
  <c r="H71" i="2"/>
  <c r="I71" i="2" s="1"/>
  <c r="H79" i="1"/>
  <c r="P90" i="1"/>
  <c r="I90" i="1"/>
  <c r="C32" i="5"/>
  <c r="F14" i="5"/>
  <c r="E7" i="10" a="1"/>
  <c r="E7" i="10" s="1"/>
  <c r="F7" i="10" s="1"/>
  <c r="R35" i="2"/>
  <c r="M35" i="2"/>
  <c r="C13" i="5"/>
  <c r="E13" i="5"/>
  <c r="I24" i="1"/>
  <c r="P24" i="1"/>
  <c r="J18" i="6"/>
  <c r="H80" i="2"/>
  <c r="I80" i="2" s="1"/>
  <c r="H88" i="1"/>
  <c r="Q32" i="2"/>
  <c r="J32" i="2"/>
  <c r="D15" i="6"/>
  <c r="E15" i="6" s="1"/>
  <c r="P93" i="1"/>
  <c r="I93" i="1"/>
  <c r="L30" i="2"/>
  <c r="J82" i="2"/>
  <c r="Q82" i="2"/>
  <c r="D32" i="6"/>
  <c r="E32" i="6" s="1"/>
  <c r="M34" i="2"/>
  <c r="R34" i="2"/>
  <c r="P25" i="1"/>
  <c r="I25" i="1"/>
  <c r="Q91" i="1"/>
  <c r="L91" i="1"/>
  <c r="D14" i="6"/>
  <c r="E14" i="6" s="1"/>
  <c r="H73" i="2"/>
  <c r="I73" i="2" s="1"/>
  <c r="H81" i="1"/>
  <c r="H70" i="2"/>
  <c r="I70" i="2" s="1"/>
  <c r="H78" i="1"/>
  <c r="Q85" i="2"/>
  <c r="J85" i="2"/>
  <c r="K82" i="1"/>
  <c r="K74" i="2"/>
  <c r="L74" i="2" s="1"/>
  <c r="R33" i="2"/>
  <c r="F16" i="6"/>
  <c r="G16" i="6" s="1"/>
  <c r="M33" i="2"/>
  <c r="M83" i="2"/>
  <c r="R83" i="2"/>
  <c r="Q94" i="1"/>
  <c r="L94" i="1"/>
  <c r="P91" i="1"/>
  <c r="I91" i="1"/>
  <c r="Q93" i="1"/>
  <c r="L93" i="1"/>
  <c r="Q92" i="1"/>
  <c r="L92" i="1"/>
  <c r="Q90" i="1"/>
  <c r="L90" i="1"/>
  <c r="E32" i="5"/>
  <c r="L95" i="1"/>
  <c r="Q95" i="1"/>
  <c r="P4" i="1"/>
  <c r="C4" i="5"/>
  <c r="D4" i="5" s="1"/>
  <c r="I4" i="1"/>
  <c r="K18" i="6"/>
  <c r="K75" i="2"/>
  <c r="L75" i="2" s="1"/>
  <c r="K83" i="1"/>
  <c r="J34" i="2"/>
  <c r="Q34" i="2"/>
  <c r="J84" i="2"/>
  <c r="Q84" i="2"/>
  <c r="I47" i="1"/>
  <c r="P47" i="1"/>
  <c r="K42" i="1"/>
  <c r="K43" i="1"/>
  <c r="K46" i="1"/>
  <c r="K47" i="1"/>
  <c r="K49" i="1"/>
  <c r="K48" i="1"/>
  <c r="P95" i="1"/>
  <c r="I95" i="1"/>
  <c r="M86" i="2"/>
  <c r="R86" i="2"/>
  <c r="J4" i="5"/>
  <c r="J83" i="2"/>
  <c r="Q83" i="2"/>
  <c r="R85" i="2"/>
  <c r="M85" i="2"/>
  <c r="H81" i="2"/>
  <c r="I81" i="2" s="1"/>
  <c r="H89" i="1"/>
  <c r="R84" i="2"/>
  <c r="M84" i="2"/>
  <c r="M82" i="2"/>
  <c r="R82" i="2"/>
  <c r="F32" i="6"/>
  <c r="G32" i="6" s="1"/>
  <c r="J13" i="5"/>
  <c r="M87" i="2"/>
  <c r="R87" i="2"/>
  <c r="C20" i="5"/>
  <c r="D20" i="5" s="1"/>
  <c r="P49" i="1"/>
  <c r="I49" i="1"/>
  <c r="P5" i="1"/>
  <c r="I5" i="1"/>
  <c r="K71" i="2"/>
  <c r="L71" i="2" s="1"/>
  <c r="K79" i="1"/>
  <c r="Q33" i="2"/>
  <c r="J33" i="2"/>
  <c r="D16" i="6"/>
  <c r="E16" i="6" s="1"/>
  <c r="P92" i="1"/>
  <c r="I92" i="1"/>
  <c r="K17" i="1"/>
  <c r="E7" i="5" s="1"/>
  <c r="H42" i="1"/>
  <c r="H43" i="1"/>
  <c r="J87" i="2"/>
  <c r="Q87" i="2"/>
  <c r="L31" i="2"/>
  <c r="P85" i="2"/>
  <c r="O85" i="2"/>
  <c r="H77" i="2"/>
  <c r="I77" i="2" s="1"/>
  <c r="H85" i="1"/>
  <c r="P75" i="2"/>
  <c r="O75" i="2"/>
  <c r="P87" i="2"/>
  <c r="O87" i="2"/>
  <c r="I6" i="1"/>
  <c r="P6" i="1"/>
  <c r="K81" i="1"/>
  <c r="K73" i="2"/>
  <c r="L73" i="2" s="1"/>
  <c r="J35" i="2"/>
  <c r="Q35" i="2"/>
  <c r="J89" i="2"/>
  <c r="Q89" i="2"/>
  <c r="Q18" i="2"/>
  <c r="J91" i="2"/>
  <c r="Q91" i="2"/>
  <c r="Q44" i="1"/>
  <c r="J18" i="5" s="1"/>
  <c r="E18" i="5"/>
  <c r="J94" i="2"/>
  <c r="Q94" i="2"/>
  <c r="J9" i="2"/>
  <c r="Q9" i="2"/>
  <c r="Q16" i="2"/>
  <c r="J16" i="2"/>
  <c r="Q17" i="2"/>
  <c r="P99" i="1"/>
  <c r="I99" i="1"/>
  <c r="P101" i="1"/>
  <c r="I101" i="1"/>
  <c r="Q15" i="2"/>
  <c r="J15" i="2"/>
  <c r="D10" i="6"/>
  <c r="E10" i="6" s="1"/>
  <c r="M26" i="2"/>
  <c r="R26" i="2"/>
  <c r="Q24" i="2"/>
  <c r="J24" i="2"/>
  <c r="D12" i="6"/>
  <c r="E12" i="6" s="1"/>
  <c r="P102" i="1"/>
  <c r="I102" i="1"/>
  <c r="L99" i="1"/>
  <c r="Q99" i="1"/>
  <c r="R88" i="2"/>
  <c r="F33" i="6"/>
  <c r="G33" i="6" s="1"/>
  <c r="M88" i="2"/>
  <c r="R4" i="2"/>
  <c r="M4" i="2"/>
  <c r="F4" i="6"/>
  <c r="G4" i="6" s="1"/>
  <c r="F6" i="6"/>
  <c r="G6" i="6" s="1"/>
  <c r="M8" i="2"/>
  <c r="R8" i="2"/>
  <c r="M9" i="2"/>
  <c r="R9" i="2"/>
  <c r="Q102" i="1"/>
  <c r="L102" i="1"/>
  <c r="R16" i="2"/>
  <c r="M16" i="2"/>
  <c r="P97" i="1"/>
  <c r="I97" i="1"/>
  <c r="R17" i="2"/>
  <c r="D6" i="6"/>
  <c r="E6" i="6" s="1"/>
  <c r="J8" i="2"/>
  <c r="Q8" i="2"/>
  <c r="L100" i="1"/>
  <c r="Q100" i="1"/>
  <c r="P98" i="1"/>
  <c r="I98" i="1"/>
  <c r="Q97" i="1"/>
  <c r="L97" i="1"/>
  <c r="R24" i="2"/>
  <c r="F12" i="6"/>
  <c r="G12" i="6" s="1"/>
  <c r="M24" i="2"/>
  <c r="J26" i="2"/>
  <c r="Q26" i="2"/>
  <c r="Q101" i="1"/>
  <c r="L101" i="1"/>
  <c r="M91" i="2"/>
  <c r="R91" i="2"/>
  <c r="Q96" i="1"/>
  <c r="E33" i="5"/>
  <c r="L96" i="1"/>
  <c r="R5" i="2"/>
  <c r="M5" i="2"/>
  <c r="J93" i="2"/>
  <c r="Q93" i="2"/>
  <c r="P44" i="1"/>
  <c r="I18" i="5" s="1"/>
  <c r="C18" i="5"/>
  <c r="M92" i="2"/>
  <c r="R92" i="2"/>
  <c r="J90" i="2"/>
  <c r="Q90" i="2"/>
  <c r="J92" i="2"/>
  <c r="Q92" i="2"/>
  <c r="R43" i="2"/>
  <c r="K20" i="6" s="1"/>
  <c r="F20" i="6"/>
  <c r="G20" i="6" s="1"/>
  <c r="M43" i="2"/>
  <c r="M89" i="2"/>
  <c r="R89" i="2"/>
  <c r="R25" i="2"/>
  <c r="Q25" i="2"/>
  <c r="R93" i="2"/>
  <c r="M93" i="2"/>
  <c r="R90" i="2"/>
  <c r="M90" i="2"/>
  <c r="O91" i="2"/>
  <c r="P91" i="2"/>
  <c r="P88" i="2"/>
  <c r="O88" i="2"/>
  <c r="P100" i="1"/>
  <c r="I100" i="1"/>
  <c r="Q88" i="2"/>
  <c r="J88" i="2"/>
  <c r="D33" i="6"/>
  <c r="E33" i="6" s="1"/>
  <c r="P89" i="2"/>
  <c r="O89" i="2"/>
  <c r="R18" i="2"/>
  <c r="Q98" i="1"/>
  <c r="L98" i="1"/>
  <c r="D4" i="6"/>
  <c r="E4" i="6" s="1"/>
  <c r="Q4" i="2"/>
  <c r="J4" i="2"/>
  <c r="Q43" i="2"/>
  <c r="J20" i="6" s="1"/>
  <c r="J43" i="2"/>
  <c r="D20" i="6" s="1"/>
  <c r="E20" i="6" s="1"/>
  <c r="M94" i="2"/>
  <c r="R94" i="2"/>
  <c r="P96" i="1"/>
  <c r="C33" i="5"/>
  <c r="I96" i="1"/>
  <c r="P93" i="2"/>
  <c r="O93" i="2"/>
  <c r="F10" i="6"/>
  <c r="G10" i="6" s="1"/>
  <c r="M15" i="2"/>
  <c r="R15" i="2"/>
  <c r="D13" i="6"/>
  <c r="E13" i="6" s="1"/>
  <c r="Q28" i="2"/>
  <c r="J28" i="2"/>
  <c r="Q5" i="2"/>
  <c r="J5" i="2"/>
  <c r="J16" i="6" l="1"/>
  <c r="I32" i="5"/>
  <c r="J32" i="5"/>
  <c r="I4" i="5"/>
  <c r="K16" i="6"/>
  <c r="I13" i="5"/>
  <c r="M71" i="2"/>
  <c r="R71" i="2"/>
  <c r="J81" i="2"/>
  <c r="Q81" i="2"/>
  <c r="O81" i="2"/>
  <c r="P81" i="2"/>
  <c r="L42" i="1"/>
  <c r="Q42" i="1"/>
  <c r="J16" i="5" s="1"/>
  <c r="E17" i="5"/>
  <c r="F17" i="5" s="1"/>
  <c r="K76" i="2"/>
  <c r="L76" i="2" s="1"/>
  <c r="K84" i="1"/>
  <c r="L84" i="1" s="1"/>
  <c r="Q71" i="2"/>
  <c r="J71" i="2"/>
  <c r="K32" i="6"/>
  <c r="L78" i="1"/>
  <c r="E29" i="5"/>
  <c r="Q78" i="1"/>
  <c r="J79" i="2"/>
  <c r="Q79" i="2"/>
  <c r="L17" i="1"/>
  <c r="Q17" i="1"/>
  <c r="J7" i="5" s="1"/>
  <c r="F7" i="5"/>
  <c r="L41" i="2"/>
  <c r="L83" i="1"/>
  <c r="Q83" i="1"/>
  <c r="F32" i="5"/>
  <c r="E14" i="10"/>
  <c r="F14" i="10" s="1"/>
  <c r="M74" i="2"/>
  <c r="R74" i="2"/>
  <c r="P81" i="1"/>
  <c r="I81" i="1"/>
  <c r="C31" i="5"/>
  <c r="D31" i="5" s="1"/>
  <c r="I88" i="1"/>
  <c r="P88" i="1"/>
  <c r="P86" i="1"/>
  <c r="I86" i="1"/>
  <c r="J32" i="6"/>
  <c r="R70" i="2"/>
  <c r="M70" i="2"/>
  <c r="F29" i="6"/>
  <c r="G29" i="6" s="1"/>
  <c r="M73" i="2"/>
  <c r="R73" i="2"/>
  <c r="L48" i="1"/>
  <c r="Q48" i="1"/>
  <c r="O80" i="2"/>
  <c r="P80" i="2"/>
  <c r="P70" i="2"/>
  <c r="M75" i="2"/>
  <c r="R75" i="2"/>
  <c r="Q82" i="1"/>
  <c r="L82" i="1"/>
  <c r="J73" i="2"/>
  <c r="Q73" i="2"/>
  <c r="Q80" i="2"/>
  <c r="J80" i="2"/>
  <c r="D31" i="6"/>
  <c r="E31" i="6" s="1"/>
  <c r="D32" i="5"/>
  <c r="C14" i="10"/>
  <c r="D14" i="10" s="1"/>
  <c r="J78" i="2"/>
  <c r="Q78" i="2"/>
  <c r="J14" i="6"/>
  <c r="J74" i="2"/>
  <c r="Q74" i="2"/>
  <c r="L81" i="1"/>
  <c r="Q81" i="1"/>
  <c r="P85" i="1"/>
  <c r="I85" i="1"/>
  <c r="L49" i="1"/>
  <c r="Q49" i="1"/>
  <c r="E20" i="5"/>
  <c r="F20" i="5" s="1"/>
  <c r="O78" i="2"/>
  <c r="P78" i="2"/>
  <c r="K81" i="2"/>
  <c r="L81" i="2" s="1"/>
  <c r="K89" i="1"/>
  <c r="M30" i="2"/>
  <c r="R30" i="2"/>
  <c r="P82" i="1"/>
  <c r="I82" i="1"/>
  <c r="M72" i="2"/>
  <c r="R72" i="2"/>
  <c r="J77" i="2"/>
  <c r="Q77" i="2"/>
  <c r="I41" i="2"/>
  <c r="L47" i="1"/>
  <c r="Q47" i="1"/>
  <c r="K85" i="1"/>
  <c r="K77" i="2"/>
  <c r="L77" i="2" s="1"/>
  <c r="E6" i="10" a="1"/>
  <c r="E6" i="10" s="1"/>
  <c r="F6" i="10" s="1"/>
  <c r="F13" i="5"/>
  <c r="I17" i="1"/>
  <c r="P17" i="1"/>
  <c r="I7" i="5" s="1"/>
  <c r="Q80" i="1"/>
  <c r="L80" i="1"/>
  <c r="I43" i="1"/>
  <c r="P43" i="1"/>
  <c r="E19" i="5"/>
  <c r="F19" i="5" s="1"/>
  <c r="Q46" i="1"/>
  <c r="L46" i="1"/>
  <c r="O70" i="2"/>
  <c r="K79" i="2"/>
  <c r="L79" i="2" s="1"/>
  <c r="K87" i="1"/>
  <c r="C6" i="10" a="1"/>
  <c r="C6" i="10" s="1"/>
  <c r="D6" i="10" s="1"/>
  <c r="D13" i="5"/>
  <c r="J15" i="6"/>
  <c r="R32" i="2"/>
  <c r="M32" i="2"/>
  <c r="F15" i="6"/>
  <c r="G15" i="6" s="1"/>
  <c r="P84" i="1"/>
  <c r="C30" i="5"/>
  <c r="D30" i="5" s="1"/>
  <c r="O72" i="2"/>
  <c r="P72" i="2"/>
  <c r="J72" i="2"/>
  <c r="Q72" i="2"/>
  <c r="I42" i="1"/>
  <c r="P42" i="1"/>
  <c r="C17" i="5"/>
  <c r="D17" i="5" s="1"/>
  <c r="O79" i="2"/>
  <c r="P79" i="2"/>
  <c r="L42" i="2"/>
  <c r="P78" i="1"/>
  <c r="I78" i="1"/>
  <c r="C29" i="5"/>
  <c r="K80" i="2"/>
  <c r="L80" i="2" s="1"/>
  <c r="K88" i="1"/>
  <c r="I19" i="5"/>
  <c r="J76" i="2"/>
  <c r="D30" i="6"/>
  <c r="E30" i="6" s="1"/>
  <c r="Q76" i="2"/>
  <c r="I83" i="1"/>
  <c r="P83" i="1"/>
  <c r="P80" i="1"/>
  <c r="I80" i="1"/>
  <c r="F14" i="6"/>
  <c r="G14" i="6" s="1"/>
  <c r="R31" i="2"/>
  <c r="M31" i="2"/>
  <c r="I42" i="2"/>
  <c r="Q79" i="1"/>
  <c r="L79" i="1"/>
  <c r="P89" i="1"/>
  <c r="I89" i="1"/>
  <c r="L43" i="1"/>
  <c r="Q43" i="1"/>
  <c r="Q70" i="2"/>
  <c r="J70" i="2"/>
  <c r="D29" i="6"/>
  <c r="E29" i="6" s="1"/>
  <c r="K78" i="2"/>
  <c r="L78" i="2" s="1"/>
  <c r="K86" i="1"/>
  <c r="P79" i="1"/>
  <c r="I79" i="1"/>
  <c r="I20" i="5"/>
  <c r="Q75" i="2"/>
  <c r="J75" i="2"/>
  <c r="P87" i="1"/>
  <c r="I87" i="1"/>
  <c r="I33" i="5"/>
  <c r="J12" i="6"/>
  <c r="K12" i="6"/>
  <c r="J33" i="5"/>
  <c r="C15" i="10" a="1"/>
  <c r="C15" i="10" s="1"/>
  <c r="D15" i="10" s="1"/>
  <c r="D33" i="5"/>
  <c r="J33" i="6"/>
  <c r="C10" i="10" a="1"/>
  <c r="C10" i="10" s="1"/>
  <c r="D10" i="10" s="1"/>
  <c r="D18" i="5"/>
  <c r="E15" i="10" a="1"/>
  <c r="E15" i="10" s="1"/>
  <c r="F15" i="10" s="1"/>
  <c r="F33" i="5"/>
  <c r="J6" i="6"/>
  <c r="K33" i="6"/>
  <c r="F18" i="5"/>
  <c r="E10" i="10" a="1"/>
  <c r="E10" i="10" s="1"/>
  <c r="F10" i="10" s="1"/>
  <c r="K6" i="6"/>
  <c r="K15" i="6" l="1"/>
  <c r="K14" i="6"/>
  <c r="I31" i="5"/>
  <c r="J17" i="5"/>
  <c r="I17" i="5"/>
  <c r="J31" i="6"/>
  <c r="I30" i="5"/>
  <c r="J29" i="5"/>
  <c r="I29" i="5"/>
  <c r="P77" i="2"/>
  <c r="O77" i="2"/>
  <c r="Q85" i="1"/>
  <c r="L85" i="1"/>
  <c r="L89" i="1"/>
  <c r="Q89" i="1"/>
  <c r="O76" i="2"/>
  <c r="P76" i="2"/>
  <c r="F29" i="5"/>
  <c r="E13" i="10" a="1"/>
  <c r="E13" i="10" s="1"/>
  <c r="F13" i="10" s="1"/>
  <c r="Q86" i="1"/>
  <c r="L86" i="1"/>
  <c r="J29" i="6"/>
  <c r="M81" i="2"/>
  <c r="R81" i="2"/>
  <c r="R78" i="2"/>
  <c r="M78" i="2"/>
  <c r="M42" i="2"/>
  <c r="R42" i="2"/>
  <c r="J19" i="5"/>
  <c r="L88" i="1"/>
  <c r="Q88" i="1"/>
  <c r="J31" i="5" s="1"/>
  <c r="E31" i="5"/>
  <c r="F31" i="5" s="1"/>
  <c r="J20" i="5"/>
  <c r="K29" i="6"/>
  <c r="E30" i="5"/>
  <c r="F30" i="5" s="1"/>
  <c r="Q84" i="1"/>
  <c r="D29" i="5"/>
  <c r="C13" i="10" a="1"/>
  <c r="C13" i="10" s="1"/>
  <c r="D13" i="10" s="1"/>
  <c r="Q87" i="1"/>
  <c r="L87" i="1"/>
  <c r="R76" i="2"/>
  <c r="M76" i="2"/>
  <c r="F30" i="6"/>
  <c r="G30" i="6" s="1"/>
  <c r="R80" i="2"/>
  <c r="F31" i="6"/>
  <c r="G31" i="6" s="1"/>
  <c r="M80" i="2"/>
  <c r="Q42" i="2"/>
  <c r="J42" i="2"/>
  <c r="M79" i="2"/>
  <c r="R79" i="2"/>
  <c r="M77" i="2"/>
  <c r="R77" i="2"/>
  <c r="Q41" i="2"/>
  <c r="D19" i="6"/>
  <c r="E19" i="6" s="1"/>
  <c r="J41" i="2"/>
  <c r="R41" i="2"/>
  <c r="M41" i="2"/>
  <c r="F19" i="6"/>
  <c r="G19" i="6" s="1"/>
  <c r="K19" i="6" l="1"/>
  <c r="J19" i="6"/>
  <c r="J30" i="6"/>
  <c r="K31" i="6"/>
  <c r="J30" i="5"/>
  <c r="K30" i="6"/>
  <c r="I11" i="2"/>
  <c r="I12" i="2"/>
  <c r="I10" i="2"/>
  <c r="L12" i="2"/>
  <c r="L10" i="2"/>
  <c r="L11" i="2"/>
  <c r="L50" i="2" l="1"/>
  <c r="L51" i="2"/>
  <c r="L52" i="2"/>
  <c r="L49" i="2"/>
  <c r="L53" i="2"/>
  <c r="R11" i="2"/>
  <c r="M11" i="2"/>
  <c r="M10" i="2"/>
  <c r="F7" i="6"/>
  <c r="G7" i="6" s="1"/>
  <c r="R10" i="2"/>
  <c r="M12" i="2"/>
  <c r="R12" i="2"/>
  <c r="J10" i="2"/>
  <c r="Q10" i="2"/>
  <c r="D7" i="6"/>
  <c r="E7" i="6" s="1"/>
  <c r="K51" i="1"/>
  <c r="K54" i="1"/>
  <c r="K52" i="1"/>
  <c r="K53" i="1"/>
  <c r="K55" i="1"/>
  <c r="Q12" i="2"/>
  <c r="J12" i="2"/>
  <c r="J11" i="2"/>
  <c r="Q11" i="2"/>
  <c r="H19" i="1"/>
  <c r="K13" i="6" l="1"/>
  <c r="J13" i="6"/>
  <c r="J4" i="6"/>
  <c r="K4" i="6"/>
  <c r="K105" i="2"/>
  <c r="L105" i="2" s="1"/>
  <c r="K104" i="2"/>
  <c r="L104" i="2" s="1"/>
  <c r="K113" i="1"/>
  <c r="J120" i="1"/>
  <c r="K114" i="1"/>
  <c r="K106" i="2"/>
  <c r="L106" i="2" s="1"/>
  <c r="L52" i="1"/>
  <c r="Q52" i="1"/>
  <c r="M53" i="2"/>
  <c r="R53" i="2"/>
  <c r="I21" i="2"/>
  <c r="I23" i="2"/>
  <c r="I22" i="2"/>
  <c r="I19" i="2"/>
  <c r="I20" i="2"/>
  <c r="P19" i="1"/>
  <c r="L54" i="1"/>
  <c r="Q54" i="1"/>
  <c r="M49" i="2"/>
  <c r="R49" i="2"/>
  <c r="F23" i="6"/>
  <c r="G23" i="6" s="1"/>
  <c r="Q55" i="1"/>
  <c r="L55" i="1"/>
  <c r="L53" i="1"/>
  <c r="Q53" i="1"/>
  <c r="K115" i="1"/>
  <c r="K107" i="2"/>
  <c r="L107" i="2" s="1"/>
  <c r="I6" i="2"/>
  <c r="I7" i="2"/>
  <c r="Q51" i="1"/>
  <c r="L51" i="1"/>
  <c r="E22" i="5"/>
  <c r="J10" i="6"/>
  <c r="M52" i="2"/>
  <c r="R52" i="2"/>
  <c r="I57" i="2"/>
  <c r="I55" i="2"/>
  <c r="H59" i="1"/>
  <c r="H58" i="1"/>
  <c r="I54" i="2"/>
  <c r="I56" i="2"/>
  <c r="H56" i="1"/>
  <c r="H57" i="1"/>
  <c r="M51" i="2"/>
  <c r="R51" i="2"/>
  <c r="H63" i="1"/>
  <c r="H62" i="1"/>
  <c r="H64" i="1"/>
  <c r="H60" i="1"/>
  <c r="H61" i="1"/>
  <c r="K10" i="6"/>
  <c r="M50" i="2"/>
  <c r="R50" i="2"/>
  <c r="J7" i="6" l="1"/>
  <c r="P58" i="1"/>
  <c r="I58" i="1"/>
  <c r="M107" i="2"/>
  <c r="R107" i="2"/>
  <c r="J22" i="2"/>
  <c r="Q22" i="2"/>
  <c r="P59" i="1"/>
  <c r="F22" i="5"/>
  <c r="E11" i="10"/>
  <c r="F11" i="10" s="1"/>
  <c r="Q115" i="1"/>
  <c r="L115" i="1"/>
  <c r="J23" i="2"/>
  <c r="Q23" i="2"/>
  <c r="M106" i="2"/>
  <c r="R106" i="2"/>
  <c r="C24" i="5"/>
  <c r="D24" i="5" s="1"/>
  <c r="P61" i="1"/>
  <c r="Q21" i="2"/>
  <c r="L114" i="1"/>
  <c r="Q114" i="1"/>
  <c r="P60" i="1"/>
  <c r="I60" i="1"/>
  <c r="P64" i="1"/>
  <c r="P57" i="1"/>
  <c r="I57" i="1"/>
  <c r="Q7" i="2"/>
  <c r="J7" i="2"/>
  <c r="K120" i="1"/>
  <c r="K112" i="2"/>
  <c r="L112" i="2" s="1"/>
  <c r="Q55" i="2"/>
  <c r="J55" i="2"/>
  <c r="Q57" i="2"/>
  <c r="K19" i="1"/>
  <c r="K63" i="1"/>
  <c r="K64" i="1"/>
  <c r="K61" i="1"/>
  <c r="K62" i="1"/>
  <c r="K60" i="1"/>
  <c r="I62" i="1"/>
  <c r="P62" i="1"/>
  <c r="C23" i="5"/>
  <c r="D23" i="5" s="1"/>
  <c r="I56" i="1"/>
  <c r="P56" i="1"/>
  <c r="Q6" i="2"/>
  <c r="J6" i="2"/>
  <c r="D5" i="6"/>
  <c r="E5" i="6" s="1"/>
  <c r="Q113" i="1"/>
  <c r="E37" i="5"/>
  <c r="L113" i="1"/>
  <c r="P63" i="1"/>
  <c r="I63" i="1"/>
  <c r="J56" i="2"/>
  <c r="Q56" i="2"/>
  <c r="Q20" i="2"/>
  <c r="R104" i="2"/>
  <c r="M104" i="2"/>
  <c r="F36" i="6"/>
  <c r="G36" i="6" s="1"/>
  <c r="Q54" i="2"/>
  <c r="D24" i="6"/>
  <c r="E24" i="6" s="1"/>
  <c r="J54" i="2"/>
  <c r="Q19" i="2"/>
  <c r="D11" i="6"/>
  <c r="E11" i="6" s="1"/>
  <c r="M105" i="2"/>
  <c r="R105" i="2"/>
  <c r="F37" i="6"/>
  <c r="G37" i="6" s="1"/>
  <c r="K7" i="6" l="1"/>
  <c r="K57" i="1"/>
  <c r="L55" i="2"/>
  <c r="L56" i="2"/>
  <c r="L57" i="2"/>
  <c r="L54" i="2"/>
  <c r="K58" i="1"/>
  <c r="K59" i="1"/>
  <c r="K56" i="1"/>
  <c r="L6" i="2"/>
  <c r="L7" i="2"/>
  <c r="Q61" i="1"/>
  <c r="K23" i="6"/>
  <c r="K112" i="1"/>
  <c r="Q64" i="1"/>
  <c r="R112" i="2"/>
  <c r="M112" i="2"/>
  <c r="L67" i="2"/>
  <c r="L68" i="2"/>
  <c r="L69" i="2"/>
  <c r="Q19" i="1"/>
  <c r="E11" i="5"/>
  <c r="L46" i="2"/>
  <c r="L47" i="2"/>
  <c r="F37" i="5"/>
  <c r="E16" i="10" a="1"/>
  <c r="E16" i="10" s="1"/>
  <c r="F16" i="10" s="1"/>
  <c r="O107" i="2"/>
  <c r="P107" i="2"/>
  <c r="L48" i="2"/>
  <c r="L63" i="1"/>
  <c r="Q63" i="1"/>
  <c r="L120" i="1"/>
  <c r="Q120" i="1"/>
  <c r="J37" i="5"/>
  <c r="P105" i="2"/>
  <c r="O105" i="2"/>
  <c r="L60" i="1"/>
  <c r="Q60" i="1"/>
  <c r="E24" i="5"/>
  <c r="F24" i="5" s="1"/>
  <c r="J22" i="5"/>
  <c r="O106" i="2"/>
  <c r="P106" i="2"/>
  <c r="L23" i="2"/>
  <c r="L22" i="2"/>
  <c r="L19" i="2"/>
  <c r="L20" i="2"/>
  <c r="L21" i="2"/>
  <c r="L62" i="1"/>
  <c r="Q62" i="1"/>
  <c r="I11" i="5"/>
  <c r="R20" i="2" l="1"/>
  <c r="L45" i="2"/>
  <c r="K63" i="2"/>
  <c r="L63" i="2" s="1"/>
  <c r="R63" i="2" s="1"/>
  <c r="K62" i="2"/>
  <c r="L62" i="2" s="1"/>
  <c r="R62" i="2" s="1"/>
  <c r="K61" i="2"/>
  <c r="L61" i="2" s="1"/>
  <c r="M61" i="2" s="1"/>
  <c r="J22" i="1"/>
  <c r="K22" i="1" s="1"/>
  <c r="J20" i="1"/>
  <c r="K20" i="1" s="1"/>
  <c r="J21" i="1"/>
  <c r="K21" i="1" s="1"/>
  <c r="K18" i="1"/>
  <c r="Q58" i="1"/>
  <c r="L58" i="1"/>
  <c r="F11" i="6"/>
  <c r="G11" i="6" s="1"/>
  <c r="R19" i="2"/>
  <c r="M47" i="2"/>
  <c r="R47" i="2"/>
  <c r="R54" i="2"/>
  <c r="M54" i="2"/>
  <c r="F24" i="6"/>
  <c r="G24" i="6" s="1"/>
  <c r="R69" i="2"/>
  <c r="M69" i="2"/>
  <c r="R57" i="2"/>
  <c r="M68" i="2"/>
  <c r="R68" i="2"/>
  <c r="K110" i="1"/>
  <c r="K102" i="2"/>
  <c r="L102" i="2" s="1"/>
  <c r="J118" i="1"/>
  <c r="J105" i="1"/>
  <c r="R56" i="2"/>
  <c r="M56" i="2"/>
  <c r="R67" i="2"/>
  <c r="M67" i="2"/>
  <c r="F28" i="6"/>
  <c r="G28" i="6" s="1"/>
  <c r="J116" i="1"/>
  <c r="J106" i="1" s="1"/>
  <c r="K108" i="1"/>
  <c r="K100" i="2"/>
  <c r="L100" i="2" s="1"/>
  <c r="J103" i="1"/>
  <c r="M7" i="2"/>
  <c r="R7" i="2"/>
  <c r="M55" i="2"/>
  <c r="R55" i="2"/>
  <c r="M22" i="2"/>
  <c r="R22" i="2"/>
  <c r="M46" i="2"/>
  <c r="R46" i="2"/>
  <c r="M23" i="2"/>
  <c r="R23" i="2"/>
  <c r="K37" i="6"/>
  <c r="J119" i="1"/>
  <c r="K103" i="2"/>
  <c r="L103" i="2" s="1"/>
  <c r="K111" i="1"/>
  <c r="F5" i="6"/>
  <c r="G5" i="6" s="1"/>
  <c r="R6" i="2"/>
  <c r="M6" i="2"/>
  <c r="L57" i="1"/>
  <c r="Q57" i="1"/>
  <c r="M48" i="2"/>
  <c r="F22" i="6"/>
  <c r="G22" i="6" s="1"/>
  <c r="R48" i="2"/>
  <c r="K109" i="1"/>
  <c r="K101" i="2"/>
  <c r="L101" i="2" s="1"/>
  <c r="J117" i="1"/>
  <c r="J104" i="1"/>
  <c r="L56" i="1"/>
  <c r="Q56" i="1"/>
  <c r="E23" i="5"/>
  <c r="F23" i="5" s="1"/>
  <c r="R21" i="2"/>
  <c r="J74" i="1"/>
  <c r="K74" i="1" s="1"/>
  <c r="J73" i="1"/>
  <c r="K73" i="1" s="1"/>
  <c r="J72" i="1"/>
  <c r="K72" i="1" s="1"/>
  <c r="L72" i="1" s="1"/>
  <c r="K50" i="1"/>
  <c r="J69" i="1"/>
  <c r="K69" i="1" s="1"/>
  <c r="J70" i="1"/>
  <c r="K70" i="1" s="1"/>
  <c r="J68" i="1"/>
  <c r="K68" i="1" s="1"/>
  <c r="L68" i="1" s="1"/>
  <c r="J71" i="1"/>
  <c r="K71" i="1" s="1"/>
  <c r="Q112" i="1"/>
  <c r="L112" i="1"/>
  <c r="E36" i="5"/>
  <c r="F36" i="5" s="1"/>
  <c r="Q59" i="1"/>
  <c r="J11" i="5"/>
  <c r="K22" i="6" l="1"/>
  <c r="K5" i="6"/>
  <c r="K24" i="6"/>
  <c r="L71" i="1"/>
  <c r="Q71" i="1"/>
  <c r="Q73" i="1"/>
  <c r="K98" i="2"/>
  <c r="L98" i="2" s="1"/>
  <c r="K106" i="1"/>
  <c r="K103" i="1"/>
  <c r="K95" i="2"/>
  <c r="L95" i="2" s="1"/>
  <c r="K105" i="1"/>
  <c r="K97" i="2"/>
  <c r="L97" i="2" s="1"/>
  <c r="Q68" i="1"/>
  <c r="E26" i="5"/>
  <c r="F26" i="5" s="1"/>
  <c r="Q74" i="1"/>
  <c r="P104" i="2"/>
  <c r="K36" i="6" s="1"/>
  <c r="J36" i="5"/>
  <c r="O104" i="2"/>
  <c r="O120" i="1"/>
  <c r="Q111" i="1"/>
  <c r="L111" i="1"/>
  <c r="F35" i="6"/>
  <c r="G35" i="6" s="1"/>
  <c r="R100" i="2"/>
  <c r="M100" i="2"/>
  <c r="K110" i="2"/>
  <c r="L110" i="2" s="1"/>
  <c r="K118" i="1"/>
  <c r="Q18" i="1"/>
  <c r="J8" i="5" s="1"/>
  <c r="E8" i="5"/>
  <c r="F8" i="5" s="1"/>
  <c r="L18" i="1"/>
  <c r="L21" i="1"/>
  <c r="Q21" i="1"/>
  <c r="P101" i="2"/>
  <c r="O101" i="2"/>
  <c r="O117" i="1"/>
  <c r="O104" i="1"/>
  <c r="K116" i="1"/>
  <c r="K108" i="2"/>
  <c r="L108" i="2" s="1"/>
  <c r="J107" i="1"/>
  <c r="K11" i="6"/>
  <c r="L50" i="1"/>
  <c r="E21" i="5"/>
  <c r="F21" i="5" s="1"/>
  <c r="Q50" i="1"/>
  <c r="J21" i="5" s="1"/>
  <c r="M101" i="2"/>
  <c r="R101" i="2"/>
  <c r="O119" i="1"/>
  <c r="P103" i="2"/>
  <c r="O103" i="2"/>
  <c r="I24" i="5"/>
  <c r="Q22" i="1"/>
  <c r="L22" i="1"/>
  <c r="E10" i="5"/>
  <c r="F10" i="5" s="1"/>
  <c r="O21" i="1"/>
  <c r="K104" i="1"/>
  <c r="K96" i="2"/>
  <c r="L96" i="2" s="1"/>
  <c r="M102" i="2"/>
  <c r="R102" i="2"/>
  <c r="K111" i="2"/>
  <c r="L111" i="2" s="1"/>
  <c r="K119" i="1"/>
  <c r="O102" i="2"/>
  <c r="P102" i="2"/>
  <c r="O118" i="1"/>
  <c r="O105" i="1"/>
  <c r="O69" i="1"/>
  <c r="O71" i="1"/>
  <c r="O70" i="1"/>
  <c r="Q72" i="1"/>
  <c r="E27" i="5"/>
  <c r="Q109" i="1"/>
  <c r="L109" i="1"/>
  <c r="R61" i="2"/>
  <c r="F26" i="6"/>
  <c r="O20" i="1"/>
  <c r="Q70" i="1"/>
  <c r="R45" i="2"/>
  <c r="F21" i="6"/>
  <c r="G21" i="6" s="1"/>
  <c r="M45" i="2"/>
  <c r="Q69" i="1"/>
  <c r="L69" i="1"/>
  <c r="Q110" i="1"/>
  <c r="L110" i="1"/>
  <c r="E9" i="5"/>
  <c r="F9" i="5" s="1"/>
  <c r="L20" i="1"/>
  <c r="Q20" i="1"/>
  <c r="Q75" i="1"/>
  <c r="O22" i="1"/>
  <c r="M103" i="2"/>
  <c r="R103" i="2"/>
  <c r="Q108" i="1"/>
  <c r="E35" i="5"/>
  <c r="F35" i="5" s="1"/>
  <c r="L108" i="1"/>
  <c r="K109" i="2"/>
  <c r="L109" i="2" s="1"/>
  <c r="K117" i="1"/>
  <c r="J23" i="5"/>
  <c r="P100" i="2"/>
  <c r="O116" i="1"/>
  <c r="O100" i="2"/>
  <c r="O103" i="1"/>
  <c r="Q76" i="1"/>
  <c r="K28" i="6" l="1"/>
  <c r="J35" i="5"/>
  <c r="P108" i="2"/>
  <c r="O108" i="2"/>
  <c r="I48" i="2"/>
  <c r="O68" i="1"/>
  <c r="J26" i="5" s="1"/>
  <c r="J24" i="5"/>
  <c r="Q103" i="1"/>
  <c r="L103" i="1"/>
  <c r="I47" i="2"/>
  <c r="I46" i="2"/>
  <c r="Q117" i="1"/>
  <c r="L117" i="1"/>
  <c r="O75" i="1"/>
  <c r="O106" i="1"/>
  <c r="R98" i="2"/>
  <c r="M98" i="2"/>
  <c r="K21" i="6"/>
  <c r="P61" i="2"/>
  <c r="P62" i="2"/>
  <c r="P63" i="2"/>
  <c r="O109" i="2"/>
  <c r="P109" i="2"/>
  <c r="M109" i="2"/>
  <c r="R109" i="2"/>
  <c r="O72" i="1"/>
  <c r="P97" i="2"/>
  <c r="O97" i="2"/>
  <c r="M96" i="2"/>
  <c r="R96" i="2"/>
  <c r="O107" i="1"/>
  <c r="L119" i="1"/>
  <c r="Q119" i="1"/>
  <c r="R95" i="2"/>
  <c r="M95" i="2"/>
  <c r="O96" i="2"/>
  <c r="P96" i="2"/>
  <c r="O76" i="1"/>
  <c r="Q106" i="1"/>
  <c r="P95" i="2"/>
  <c r="O95" i="2"/>
  <c r="O74" i="1"/>
  <c r="P110" i="2"/>
  <c r="O110" i="2"/>
  <c r="L104" i="1"/>
  <c r="Q104" i="1"/>
  <c r="L118" i="1"/>
  <c r="Q118" i="1"/>
  <c r="P112" i="2"/>
  <c r="O112" i="2"/>
  <c r="Q116" i="1"/>
  <c r="E38" i="5"/>
  <c r="F38" i="5" s="1"/>
  <c r="L116" i="1"/>
  <c r="M111" i="2"/>
  <c r="R111" i="2"/>
  <c r="L13" i="2"/>
  <c r="O73" i="1"/>
  <c r="O111" i="2"/>
  <c r="P111" i="2"/>
  <c r="K99" i="2"/>
  <c r="L99" i="2" s="1"/>
  <c r="F34" i="6" s="1"/>
  <c r="G34" i="6" s="1"/>
  <c r="K107" i="1"/>
  <c r="M110" i="2"/>
  <c r="R110" i="2"/>
  <c r="R97" i="2"/>
  <c r="M97" i="2"/>
  <c r="K35" i="6"/>
  <c r="I69" i="2"/>
  <c r="I68" i="2"/>
  <c r="I102" i="2"/>
  <c r="I100" i="2"/>
  <c r="I103" i="2"/>
  <c r="I101" i="2"/>
  <c r="H112" i="1"/>
  <c r="I104" i="2"/>
  <c r="J10" i="5"/>
  <c r="J9" i="5"/>
  <c r="R108" i="2"/>
  <c r="M108" i="2"/>
  <c r="F38" i="6"/>
  <c r="G38" i="6" s="1"/>
  <c r="L105" i="1"/>
  <c r="Q105" i="1"/>
  <c r="J38" i="5" l="1"/>
  <c r="I13" i="2"/>
  <c r="J13" i="2" s="1"/>
  <c r="H111" i="1"/>
  <c r="G119" i="1"/>
  <c r="J102" i="2"/>
  <c r="Q102" i="2"/>
  <c r="I67" i="2"/>
  <c r="H95" i="2"/>
  <c r="I95" i="2" s="1"/>
  <c r="J27" i="5"/>
  <c r="K26" i="6"/>
  <c r="I112" i="1"/>
  <c r="C36" i="5"/>
  <c r="D36" i="5" s="1"/>
  <c r="P112" i="1"/>
  <c r="Q68" i="2"/>
  <c r="J68" i="2"/>
  <c r="M99" i="2"/>
  <c r="R99" i="2"/>
  <c r="I45" i="2"/>
  <c r="D22" i="6"/>
  <c r="E22" i="6" s="1"/>
  <c r="Q48" i="2"/>
  <c r="J48" i="2"/>
  <c r="R13" i="2"/>
  <c r="K8" i="6" s="1"/>
  <c r="M13" i="2"/>
  <c r="F8" i="6"/>
  <c r="G8" i="6" s="1"/>
  <c r="J104" i="2"/>
  <c r="D36" i="6"/>
  <c r="E36" i="6" s="1"/>
  <c r="Q104" i="2"/>
  <c r="J36" i="6" s="1"/>
  <c r="Q101" i="2"/>
  <c r="J101" i="2"/>
  <c r="H50" i="1"/>
  <c r="J103" i="2"/>
  <c r="Q103" i="2"/>
  <c r="O99" i="2"/>
  <c r="P99" i="2"/>
  <c r="J47" i="2"/>
  <c r="Q47" i="2"/>
  <c r="G106" i="1"/>
  <c r="H109" i="1"/>
  <c r="G117" i="1"/>
  <c r="H108" i="1"/>
  <c r="G116" i="1"/>
  <c r="L107" i="1"/>
  <c r="Q107" i="1"/>
  <c r="J34" i="5" s="1"/>
  <c r="J69" i="2"/>
  <c r="Q69" i="2"/>
  <c r="J46" i="2"/>
  <c r="Q46" i="2"/>
  <c r="H110" i="1"/>
  <c r="G118" i="1"/>
  <c r="E34" i="5"/>
  <c r="F34" i="5" s="1"/>
  <c r="Q100" i="2"/>
  <c r="D35" i="6"/>
  <c r="E35" i="6" s="1"/>
  <c r="J100" i="2"/>
  <c r="O98" i="2"/>
  <c r="P98" i="2"/>
  <c r="K38" i="6"/>
  <c r="Q13" i="2" l="1"/>
  <c r="D8" i="6"/>
  <c r="E8" i="6" s="1"/>
  <c r="K34" i="6"/>
  <c r="P75" i="1"/>
  <c r="H98" i="2"/>
  <c r="I98" i="2" s="1"/>
  <c r="H106" i="1"/>
  <c r="H52" i="1"/>
  <c r="H62" i="2"/>
  <c r="I62" i="2" s="1"/>
  <c r="Q62" i="2" s="1"/>
  <c r="I49" i="2"/>
  <c r="P109" i="1"/>
  <c r="I109" i="1"/>
  <c r="H54" i="1"/>
  <c r="I50" i="2"/>
  <c r="G104" i="1"/>
  <c r="H114" i="1"/>
  <c r="H106" i="2"/>
  <c r="I106" i="2" s="1"/>
  <c r="G73" i="1"/>
  <c r="H73" i="1" s="1"/>
  <c r="Q95" i="2"/>
  <c r="J95" i="2"/>
  <c r="H107" i="2"/>
  <c r="I107" i="2" s="1"/>
  <c r="H115" i="1"/>
  <c r="H61" i="2"/>
  <c r="I61" i="2" s="1"/>
  <c r="J61" i="2" s="1"/>
  <c r="Q67" i="2"/>
  <c r="D28" i="6"/>
  <c r="E28" i="6" s="1"/>
  <c r="J67" i="2"/>
  <c r="I52" i="2"/>
  <c r="H110" i="2"/>
  <c r="I110" i="2" s="1"/>
  <c r="H118" i="1"/>
  <c r="G70" i="1"/>
  <c r="H70" i="1" s="1"/>
  <c r="I51" i="2"/>
  <c r="P110" i="1"/>
  <c r="I110" i="1"/>
  <c r="H108" i="2"/>
  <c r="I108" i="2" s="1"/>
  <c r="H116" i="1"/>
  <c r="H18" i="1"/>
  <c r="G20" i="1"/>
  <c r="H20" i="1" s="1"/>
  <c r="G22" i="1"/>
  <c r="H22" i="1" s="1"/>
  <c r="G21" i="1"/>
  <c r="H21" i="1" s="1"/>
  <c r="H63" i="2"/>
  <c r="I63" i="2" s="1"/>
  <c r="Q63" i="2" s="1"/>
  <c r="G69" i="1"/>
  <c r="H69" i="1" s="1"/>
  <c r="I69" i="1" s="1"/>
  <c r="H51" i="1"/>
  <c r="C21" i="5"/>
  <c r="D21" i="5" s="1"/>
  <c r="I50" i="1"/>
  <c r="P50" i="1"/>
  <c r="J22" i="6"/>
  <c r="G105" i="1"/>
  <c r="G68" i="1"/>
  <c r="H68" i="1" s="1"/>
  <c r="I68" i="1" s="1"/>
  <c r="H53" i="1"/>
  <c r="P108" i="1"/>
  <c r="I108" i="1"/>
  <c r="C35" i="5"/>
  <c r="D35" i="5" s="1"/>
  <c r="G74" i="1"/>
  <c r="H74" i="1" s="1"/>
  <c r="D21" i="6"/>
  <c r="E21" i="6" s="1"/>
  <c r="Q45" i="2"/>
  <c r="J45" i="2"/>
  <c r="H119" i="1"/>
  <c r="H111" i="2"/>
  <c r="I111" i="2" s="1"/>
  <c r="G71" i="1"/>
  <c r="H71" i="1" s="1"/>
  <c r="H55" i="1"/>
  <c r="H105" i="2"/>
  <c r="I105" i="2" s="1"/>
  <c r="H113" i="1"/>
  <c r="G120" i="1"/>
  <c r="G107" i="1"/>
  <c r="J35" i="6"/>
  <c r="I53" i="2"/>
  <c r="H109" i="2"/>
  <c r="I109" i="2" s="1"/>
  <c r="H117" i="1"/>
  <c r="G72" i="1"/>
  <c r="H72" i="1" s="1"/>
  <c r="I72" i="1" s="1"/>
  <c r="P111" i="1"/>
  <c r="I111" i="1"/>
  <c r="D23" i="6" l="1"/>
  <c r="J8" i="6"/>
  <c r="P76" i="1"/>
  <c r="J21" i="6"/>
  <c r="O62" i="2"/>
  <c r="O63" i="2"/>
  <c r="O61" i="2"/>
  <c r="J50" i="2"/>
  <c r="Q50" i="2"/>
  <c r="P70" i="1"/>
  <c r="I116" i="1"/>
  <c r="P116" i="1"/>
  <c r="P54" i="1"/>
  <c r="I54" i="1"/>
  <c r="J53" i="2"/>
  <c r="Q53" i="2"/>
  <c r="P55" i="1"/>
  <c r="I55" i="1"/>
  <c r="P68" i="1"/>
  <c r="C26" i="5"/>
  <c r="D26" i="5" s="1"/>
  <c r="P51" i="1"/>
  <c r="I51" i="1"/>
  <c r="C22" i="5"/>
  <c r="Q108" i="2"/>
  <c r="J108" i="2"/>
  <c r="Q110" i="2"/>
  <c r="J110" i="2"/>
  <c r="I35" i="5"/>
  <c r="N116" i="1"/>
  <c r="N103" i="1"/>
  <c r="I52" i="1"/>
  <c r="P52" i="1"/>
  <c r="I117" i="1"/>
  <c r="P117" i="1"/>
  <c r="P115" i="1"/>
  <c r="I115" i="1"/>
  <c r="J109" i="2"/>
  <c r="Q109" i="2"/>
  <c r="I18" i="1"/>
  <c r="C8" i="5"/>
  <c r="D8" i="5" s="1"/>
  <c r="P18" i="1"/>
  <c r="I8" i="5" s="1"/>
  <c r="J107" i="2"/>
  <c r="Q107" i="2"/>
  <c r="P74" i="1"/>
  <c r="P118" i="1"/>
  <c r="I118" i="1"/>
  <c r="I71" i="1"/>
  <c r="P71" i="1"/>
  <c r="H97" i="2"/>
  <c r="I97" i="2" s="1"/>
  <c r="H105" i="1"/>
  <c r="P69" i="1"/>
  <c r="J28" i="6"/>
  <c r="N118" i="1"/>
  <c r="N105" i="1"/>
  <c r="J106" i="2"/>
  <c r="Q106" i="2"/>
  <c r="P106" i="1"/>
  <c r="C37" i="5"/>
  <c r="P113" i="1"/>
  <c r="I113" i="1"/>
  <c r="J5" i="6"/>
  <c r="P73" i="1"/>
  <c r="J111" i="2"/>
  <c r="Q111" i="2"/>
  <c r="N74" i="1"/>
  <c r="I21" i="5"/>
  <c r="N73" i="1"/>
  <c r="N75" i="1"/>
  <c r="N72" i="1"/>
  <c r="N76" i="1"/>
  <c r="N71" i="1"/>
  <c r="N69" i="1"/>
  <c r="N70" i="1"/>
  <c r="N68" i="1"/>
  <c r="J52" i="2"/>
  <c r="Q52" i="2"/>
  <c r="N119" i="1"/>
  <c r="I114" i="1"/>
  <c r="P114" i="1"/>
  <c r="J98" i="2"/>
  <c r="Q98" i="2"/>
  <c r="I20" i="1"/>
  <c r="P20" i="1"/>
  <c r="C9" i="5"/>
  <c r="D9" i="5" s="1"/>
  <c r="Q49" i="2"/>
  <c r="E23" i="6"/>
  <c r="J49" i="2"/>
  <c r="J105" i="2"/>
  <c r="D37" i="6"/>
  <c r="E37" i="6" s="1"/>
  <c r="Q105" i="2"/>
  <c r="H99" i="2"/>
  <c r="I99" i="2" s="1"/>
  <c r="H107" i="1"/>
  <c r="P119" i="1"/>
  <c r="I119" i="1"/>
  <c r="I23" i="5"/>
  <c r="P21" i="1"/>
  <c r="I21" i="1"/>
  <c r="N20" i="1"/>
  <c r="N21" i="1"/>
  <c r="N22" i="1"/>
  <c r="D26" i="6"/>
  <c r="Q61" i="2"/>
  <c r="N120" i="1"/>
  <c r="I36" i="5"/>
  <c r="H96" i="2"/>
  <c r="I96" i="2" s="1"/>
  <c r="H104" i="1"/>
  <c r="J11" i="6"/>
  <c r="N117" i="1"/>
  <c r="N107" i="1" s="1"/>
  <c r="N104" i="1"/>
  <c r="P72" i="1"/>
  <c r="C27" i="5"/>
  <c r="H120" i="1"/>
  <c r="H112" i="2"/>
  <c r="I112" i="2" s="1"/>
  <c r="I53" i="1"/>
  <c r="P53" i="1"/>
  <c r="J24" i="6"/>
  <c r="P22" i="1"/>
  <c r="C10" i="5"/>
  <c r="D10" i="5" s="1"/>
  <c r="I22" i="1"/>
  <c r="J51" i="2"/>
  <c r="Q51" i="2"/>
  <c r="J37" i="6" l="1"/>
  <c r="I9" i="5"/>
  <c r="J23" i="6"/>
  <c r="I22" i="5"/>
  <c r="I37" i="5"/>
  <c r="N106" i="1"/>
  <c r="P105" i="1"/>
  <c r="I105" i="1"/>
  <c r="I10" i="5"/>
  <c r="I107" i="1"/>
  <c r="P107" i="1"/>
  <c r="I27" i="5"/>
  <c r="Q97" i="2"/>
  <c r="J97" i="2"/>
  <c r="J26" i="6"/>
  <c r="D37" i="5"/>
  <c r="C16" i="10" a="1"/>
  <c r="C16" i="10" s="1"/>
  <c r="D16" i="10" s="1"/>
  <c r="Q99" i="2"/>
  <c r="J99" i="2"/>
  <c r="I104" i="1"/>
  <c r="P104" i="1"/>
  <c r="C34" i="5"/>
  <c r="D34" i="5" s="1"/>
  <c r="D38" i="6"/>
  <c r="E38" i="6" s="1"/>
  <c r="J112" i="2"/>
  <c r="Q112" i="2"/>
  <c r="J38" i="6" s="1"/>
  <c r="C38" i="5"/>
  <c r="D38" i="5" s="1"/>
  <c r="I120" i="1"/>
  <c r="P120" i="1"/>
  <c r="I38" i="5" s="1"/>
  <c r="J96" i="2"/>
  <c r="Q96" i="2"/>
  <c r="D34" i="6"/>
  <c r="E34" i="6" s="1"/>
  <c r="I26" i="5"/>
  <c r="D22" i="5"/>
  <c r="C11" i="10"/>
  <c r="D11" i="10" s="1"/>
  <c r="I34" i="5" l="1"/>
  <c r="J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Solene PIGNE</author>
  </authors>
  <commentList>
    <comment ref="A1" authorId="0" shapeId="0" xr:uid="{408A5940-2671-4AAC-8599-1C16B411E606}">
      <text>
        <r>
          <rPr>
            <b/>
            <sz val="9"/>
            <color indexed="81"/>
            <rFont val="Tahoma"/>
            <family val="2"/>
          </rPr>
          <t>Solene PIGNE:</t>
        </r>
        <r>
          <rPr>
            <sz val="9"/>
            <color indexed="81"/>
            <rFont val="Tahoma"/>
            <family val="2"/>
          </rPr>
          <t xml:space="preserve">
Texte en italique : exemples de formations enseignants tout ou la quasi-totalité du bloc de compétences.
Lecture : toutes les formations n’ont pas à être adaptées. Le choix de(s) la formation(s) pertinente(s) à adapter peut dépendre de plusieurs critère :
-Situation géographique
-Flexibilité (les formations continues sont en générales plus flexibles)
-Contexte
-Volume horaire</t>
        </r>
      </text>
    </comment>
    <comment ref="B1" authorId="0" shapeId="0" xr:uid="{D951DD63-7651-4346-8B40-633D7C528A79}">
      <text>
        <r>
          <rPr>
            <b/>
            <sz val="9"/>
            <color indexed="81"/>
            <rFont val="Tahoma"/>
            <family val="2"/>
          </rPr>
          <t>Solene PIGNE:</t>
        </r>
        <r>
          <rPr>
            <sz val="9"/>
            <color indexed="81"/>
            <rFont val="Tahoma"/>
            <family val="2"/>
          </rPr>
          <t xml:space="preserve">
Sommes des effectifs annuels de toutes les formations </t>
        </r>
      </text>
    </comment>
    <comment ref="C2" authorId="0" shapeId="0" xr:uid="{B5B193A8-941D-422B-8ABF-8A69FFE14475}">
      <text>
        <r>
          <rPr>
            <b/>
            <sz val="9"/>
            <color indexed="81"/>
            <rFont val="Tahoma"/>
            <family val="2"/>
          </rPr>
          <t>Solene PIGNE:</t>
        </r>
        <r>
          <rPr>
            <sz val="9"/>
            <color indexed="81"/>
            <rFont val="Tahoma"/>
            <family val="2"/>
          </rPr>
          <t xml:space="preserve">
Nombre de place à ouvrir permettant de former de 2026 à 2030, le nombre suffisant de personnes, en tenant compte du taux de poursuite d’étude.
Calcul :
Nombre de places à ouvrir = nombre de postes nécessaires en 2030 / (2030-2026) / taux d’insertion 
L’année d’augmentation de l’effectif est déterminante, elle peut être modifiée dans l'onglet "hypothèses"</t>
        </r>
      </text>
    </comment>
    <comment ref="D2" authorId="0" shapeId="0" xr:uid="{5A0D1C5C-89AA-4ACB-8C4B-F03B2E506973}">
      <text>
        <r>
          <rPr>
            <b/>
            <sz val="9"/>
            <color indexed="81"/>
            <rFont val="Tahoma"/>
            <family val="2"/>
          </rPr>
          <t>Solene PIGNE:</t>
        </r>
        <r>
          <rPr>
            <sz val="9"/>
            <color indexed="81"/>
            <rFont val="Tahoma"/>
            <family val="2"/>
          </rPr>
          <t xml:space="preserve">
Nombre de place à ouvrir d’ici 2026/ Nombre de places actuel 
Ce % est donc relativement bas car il prend en compte toutes les formations possibles.
</t>
        </r>
      </text>
    </comment>
    <comment ref="E2" authorId="0" shapeId="0" xr:uid="{81F6AD51-956C-4248-A932-03C829C17658}">
      <text>
        <r>
          <rPr>
            <b/>
            <sz val="9"/>
            <color indexed="81"/>
            <rFont val="Tahoma"/>
            <family val="2"/>
          </rPr>
          <t>Solene PIGNE:</t>
        </r>
        <r>
          <rPr>
            <sz val="9"/>
            <color indexed="81"/>
            <rFont val="Tahoma"/>
            <family val="2"/>
          </rPr>
          <t xml:space="preserve">
Nombre de place à ouvrir permettant de former de 2026 à 2030, le nombre suffisant de personnes, en tenant compte du taux de poursuite d’étude.
Calcul :
Nombre de places à ouvrir = nombre de postes nécessaires en 2030 / (2030-2026) / taux d’insertion 
L’année d’augmentation de l’effectif est déterminante, elle peut être modifiée dans l'onglet "hypothèses"</t>
        </r>
      </text>
    </comment>
    <comment ref="F2" authorId="0" shapeId="0" xr:uid="{C061E37B-79EB-4488-828A-C10B47CFA556}">
      <text>
        <r>
          <rPr>
            <b/>
            <sz val="9"/>
            <color indexed="81"/>
            <rFont val="Tahoma"/>
            <family val="2"/>
          </rPr>
          <t>Solene PIGNE:</t>
        </r>
        <r>
          <rPr>
            <sz val="9"/>
            <color indexed="81"/>
            <rFont val="Tahoma"/>
            <family val="2"/>
          </rPr>
          <t xml:space="preserve">
Nombre de place à ouvrir d’ici 2026/ Nombre de places actuel 
Ce % est donc relativement bas car il prend en compte toutes les formations possibles.
</t>
        </r>
      </text>
    </comment>
    <comment ref="I2" authorId="0" shapeId="0" xr:uid="{76E8F3A9-A651-421F-B108-C6AE5AAF190B}">
      <text>
        <r>
          <rPr>
            <b/>
            <sz val="9"/>
            <color indexed="81"/>
            <rFont val="Tahoma"/>
            <family val="2"/>
          </rPr>
          <t>Solene PIGNE:</t>
        </r>
        <r>
          <rPr>
            <sz val="9"/>
            <color indexed="81"/>
            <rFont val="Tahoma"/>
            <family val="2"/>
          </rPr>
          <t xml:space="preserve">
Estimation du nombre de personnes formées en 2040 grâce à l’évolution des contenus de formation, et comparaison au besoin en nombre de postes en 2040
</t>
        </r>
      </text>
    </comment>
    <comment ref="A15" authorId="0" shapeId="0" xr:uid="{24F1DD08-BF36-4716-97FD-ADFE5358EE70}">
      <text>
        <r>
          <rPr>
            <b/>
            <sz val="9"/>
            <color indexed="81"/>
            <rFont val="Tahoma"/>
            <family val="2"/>
          </rPr>
          <t>Solene PIGNE:</t>
        </r>
        <r>
          <rPr>
            <sz val="9"/>
            <color indexed="81"/>
            <rFont val="Tahoma"/>
            <family val="2"/>
          </rPr>
          <t xml:space="preserve">
Conversion de puissance : ajouter autre 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Solene PIGNE</author>
  </authors>
  <commentList>
    <comment ref="A1" authorId="0" shapeId="0" xr:uid="{6C83579F-B57B-4356-AD37-BD4A67F1B332}">
      <text>
        <r>
          <rPr>
            <b/>
            <sz val="9"/>
            <color indexed="81"/>
            <rFont val="Tahoma"/>
            <family val="2"/>
          </rPr>
          <t>Solene PIGNE:</t>
        </r>
        <r>
          <rPr>
            <sz val="9"/>
            <color indexed="81"/>
            <rFont val="Tahoma"/>
            <family val="2"/>
          </rPr>
          <t xml:space="preserve">
Texte en italique : exemples de formations enseignants tout ou la quasi-totalité du bloc de compétences.
Lecture : toutes les formations n’ont pas à être adaptées. Le choix de(s) la formation(s) pertinente(s) à adapter peut dépendre de plusieurs critère :
-Situation géographique
-Flexibilité (les formations continues sont en générales plus flexibles)
-Contexte
-Volume horaire</t>
        </r>
      </text>
    </comment>
    <comment ref="B1" authorId="0" shapeId="0" xr:uid="{3F2BE851-B108-423D-BBD5-E80D544F70B5}">
      <text>
        <r>
          <rPr>
            <b/>
            <sz val="9"/>
            <color indexed="81"/>
            <rFont val="Tahoma"/>
            <charset val="1"/>
          </rPr>
          <t>Solene PIGNE:</t>
        </r>
        <r>
          <rPr>
            <sz val="9"/>
            <color indexed="81"/>
            <rFont val="Tahoma"/>
            <charset val="1"/>
          </rPr>
          <t xml:space="preserve">
Sommes des effectifs annuels de toutes les formations </t>
        </r>
      </text>
    </comment>
    <comment ref="D2" authorId="0" shapeId="0" xr:uid="{55A075EA-B353-45BC-BF8C-F30994E3BE6C}">
      <text>
        <r>
          <rPr>
            <b/>
            <sz val="9"/>
            <color indexed="81"/>
            <rFont val="Tahoma"/>
            <family val="2"/>
          </rPr>
          <t>Solene PIGNE:</t>
        </r>
        <r>
          <rPr>
            <sz val="9"/>
            <color indexed="81"/>
            <rFont val="Tahoma"/>
            <family val="2"/>
          </rPr>
          <t xml:space="preserve">
Effectif devant être formé avec le nouveau module pour obtenir le nombre suffisant de personnes formées en 2030, en tenant compte du taux de poursuite d’étude.
Calcul :
Effectif à toucher = nombre de postes nécessaires en 2030 / (2030-2026) / taux d’insertion 
L’année d’augmentation de l’effectif est déterminante. Elle peut être modifiée dans le catalogue.
</t>
        </r>
      </text>
    </comment>
    <comment ref="J2" authorId="0" shapeId="0" xr:uid="{D345E04A-86CD-483C-9EBB-3CA7D77DBABD}">
      <text>
        <r>
          <rPr>
            <b/>
            <sz val="9"/>
            <color indexed="81"/>
            <rFont val="Tahoma"/>
            <family val="2"/>
          </rPr>
          <t>Solene PIGNE:</t>
        </r>
        <r>
          <rPr>
            <sz val="9"/>
            <color indexed="81"/>
            <rFont val="Tahoma"/>
            <family val="2"/>
          </rPr>
          <t xml:space="preserve">
Estimation du nombre de personnes formées en 2040 grâce à l’évolution des contenus de formation, et comparaison au besoin en nombre de postes en 2040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Solene PIGNE</author>
  </authors>
  <commentList>
    <comment ref="A3" authorId="0" shapeId="0" xr:uid="{6BBE96F1-B8D3-4F6A-9E8B-D6409B6412FC}">
      <text>
        <r>
          <rPr>
            <b/>
            <sz val="9"/>
            <color indexed="81"/>
            <rFont val="Tahoma"/>
            <family val="2"/>
          </rPr>
          <t>Solene PIGNE:</t>
        </r>
        <r>
          <rPr>
            <sz val="9"/>
            <color indexed="81"/>
            <rFont val="Tahoma"/>
            <family val="2"/>
          </rPr>
          <t xml:space="preserve">
Texte en italique : exemples de formations enseignants tout ou la quasi-totalité du bloc de compétences.
Lecture : toutes les formations n’ont pas à être adaptées. Le choix de(s) la formation(s) pertinente(s) à adapter peut dépendre de plusieurs critère :
-Situation géographique
-Flexibilité (les formations continues sont en générales plus flexibles)
-Contexte
-Volume horaire</t>
        </r>
      </text>
    </comment>
    <comment ref="B3" authorId="0" shapeId="0" xr:uid="{F5D74E76-A19D-4F69-8E21-B636FE9D2DDB}">
      <text>
        <r>
          <rPr>
            <b/>
            <sz val="9"/>
            <color indexed="81"/>
            <rFont val="Tahoma"/>
            <family val="2"/>
          </rPr>
          <t>Solene PIGNE:</t>
        </r>
        <r>
          <rPr>
            <sz val="9"/>
            <color indexed="81"/>
            <rFont val="Tahoma"/>
            <family val="2"/>
          </rPr>
          <t xml:space="preserve">
Sommes des effectifs annuels de toutes les formations </t>
        </r>
      </text>
    </comment>
    <comment ref="C4" authorId="0" shapeId="0" xr:uid="{9FB65D96-EE75-4736-BDAF-78A40066EFC2}">
      <text>
        <r>
          <rPr>
            <b/>
            <sz val="9"/>
            <color indexed="81"/>
            <rFont val="Tahoma"/>
            <family val="2"/>
          </rPr>
          <t>Solene PIGNE:</t>
        </r>
        <r>
          <rPr>
            <sz val="9"/>
            <color indexed="81"/>
            <rFont val="Tahoma"/>
            <family val="2"/>
          </rPr>
          <t xml:space="preserve">
Nombre de place à ouvrir permettant de former de 2026 à 2030, le nombre suffisant de personnes, en tenant compte du taux de poursuite d’étude.
Calcul :
Nombre de places à ouvrir = nombre de postes nécessaires en 2030 / (2030-2026) / taux d’insertion 
L’année d’augmentation de l’effectif est déterminante, elle peut être modifiée dans l'onglet "hypothèses"</t>
        </r>
      </text>
    </comment>
    <comment ref="D4" authorId="0" shapeId="0" xr:uid="{1F73A39C-1AE7-4F69-8FD3-E610238D7A27}">
      <text>
        <r>
          <rPr>
            <b/>
            <sz val="9"/>
            <color indexed="81"/>
            <rFont val="Tahoma"/>
            <family val="2"/>
          </rPr>
          <t>Solene PIGNE:</t>
        </r>
        <r>
          <rPr>
            <sz val="9"/>
            <color indexed="81"/>
            <rFont val="Tahoma"/>
            <family val="2"/>
          </rPr>
          <t xml:space="preserve">
Nombre de place à ouvrir d’ici 2026/ Nombre de places actuel 
Ce % est donc relativement bas car il prend en compte toutes les formations possibles.
</t>
        </r>
      </text>
    </comment>
    <comment ref="F4" authorId="0" shapeId="0" xr:uid="{4872AAAB-4559-4C67-8EA2-6C9D2B75E2CF}">
      <text>
        <r>
          <rPr>
            <b/>
            <sz val="9"/>
            <color indexed="81"/>
            <rFont val="Tahoma"/>
            <family val="2"/>
          </rPr>
          <t>Solene PIGNE:</t>
        </r>
        <r>
          <rPr>
            <sz val="9"/>
            <color indexed="81"/>
            <rFont val="Tahoma"/>
            <family val="2"/>
          </rPr>
          <t xml:space="preserve">
Nombre de place à ouvrir d’ici 2026/ Nombre de places actuel 
Ce % est donc relativement bas car il prend en compte toutes les formations possibles.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Solene PIGNE</author>
  </authors>
  <commentList>
    <comment ref="E2" authorId="0" shapeId="0" xr:uid="{811FB324-2408-4B74-9875-E04030491AE8}">
      <text>
        <r>
          <rPr>
            <b/>
            <sz val="9"/>
            <color indexed="81"/>
            <rFont val="Tahoma"/>
            <family val="2"/>
          </rPr>
          <t>Solene PIGNE:</t>
        </r>
        <r>
          <rPr>
            <sz val="9"/>
            <color indexed="81"/>
            <rFont val="Tahoma"/>
            <family val="2"/>
          </rPr>
          <t xml:space="preserve">
La prise en compte du taux d'insertion permet de ne pas compter plusieurs fois les apprenants poursuivants leurs études.</t>
        </r>
      </text>
    </comment>
    <comment ref="G2" authorId="0" shapeId="0" xr:uid="{6209BB46-DC59-4BFD-AD56-3D7A80AEDB41}">
      <text>
        <r>
          <rPr>
            <b/>
            <sz val="9"/>
            <color indexed="81"/>
            <rFont val="Tahoma"/>
            <family val="2"/>
          </rPr>
          <t>Solene PIGNE:</t>
        </r>
        <r>
          <rPr>
            <sz val="9"/>
            <color indexed="81"/>
            <rFont val="Tahoma"/>
            <family val="2"/>
          </rPr>
          <t xml:space="preserve">
Données provenant directement de la modélisation des besoins en postes effectuée dans le cadre de l'étude  "Diagnostic emplois-compétences pour le développement de l'hydrogène en région Pays de la Loire".</t>
        </r>
      </text>
    </comment>
    <comment ref="N2" authorId="0" shapeId="0" xr:uid="{BF2EA00A-4E27-4174-80A2-AE7BC397BCB2}">
      <text>
        <r>
          <rPr>
            <b/>
            <sz val="9"/>
            <color indexed="81"/>
            <rFont val="Tahoma"/>
            <family val="2"/>
          </rPr>
          <t>Solene PIGNE:</t>
        </r>
        <r>
          <rPr>
            <sz val="9"/>
            <color indexed="81"/>
            <rFont val="Tahoma"/>
            <family val="2"/>
          </rPr>
          <t xml:space="preserve">
Données provenant directement de la modélisation des besoins en postes effectuée dans le cadre de l'étude  "Diagnostic emplois-compétences pour le développement de l'hydrogène en région Pays de la Loire".</t>
        </r>
      </text>
    </comment>
    <comment ref="A18" authorId="0" shapeId="0" xr:uid="{FB1EF516-C281-42AE-B8B9-B81AEB359B29}">
      <text>
        <r>
          <rPr>
            <b/>
            <sz val="9"/>
            <color indexed="81"/>
            <rFont val="Tahoma"/>
            <family val="2"/>
          </rPr>
          <t>Solene PIGNE:</t>
        </r>
        <r>
          <rPr>
            <sz val="9"/>
            <color indexed="81"/>
            <rFont val="Tahoma"/>
            <family val="2"/>
          </rPr>
          <t xml:space="preserve">
Comprend la méthanation</t>
        </r>
      </text>
    </comment>
    <comment ref="D27" authorId="0" shapeId="0" xr:uid="{74980CB7-E1C5-4529-88E6-45F57EBC8FA3}">
      <text>
        <r>
          <rPr>
            <b/>
            <sz val="9"/>
            <color indexed="81"/>
            <rFont val="Tahoma"/>
            <family val="2"/>
          </rPr>
          <t>Solene PIGNE:</t>
        </r>
        <r>
          <rPr>
            <sz val="9"/>
            <color indexed="81"/>
            <rFont val="Tahoma"/>
            <family val="2"/>
          </rPr>
          <t xml:space="preserve">
dans le 72</t>
        </r>
      </text>
    </comment>
    <comment ref="C28" authorId="0" shapeId="0" xr:uid="{6CBA167D-BBDA-4989-A785-03143AE3C631}">
      <text>
        <r>
          <rPr>
            <b/>
            <sz val="9"/>
            <color indexed="81"/>
            <rFont val="Tahoma"/>
            <family val="2"/>
          </rPr>
          <t>Solene PIGNE:</t>
        </r>
        <r>
          <rPr>
            <sz val="9"/>
            <color indexed="81"/>
            <rFont val="Tahoma"/>
            <family val="2"/>
          </rPr>
          <t xml:space="preserve">
Du fait du manque de donnée, les données quantitaives ne sont pas affichées pour cette formation</t>
        </r>
      </text>
    </comment>
    <comment ref="C29" authorId="0" shapeId="0" xr:uid="{4381B084-EF2F-4FFA-8BA8-3F3F71D1FCEE}">
      <text>
        <r>
          <rPr>
            <b/>
            <sz val="9"/>
            <color indexed="81"/>
            <rFont val="Tahoma"/>
            <family val="2"/>
          </rPr>
          <t>Solene PIGNE:</t>
        </r>
        <r>
          <rPr>
            <sz val="9"/>
            <color indexed="81"/>
            <rFont val="Tahoma"/>
            <family val="2"/>
          </rPr>
          <t xml:space="preserve">
Du fait du manque de donnée, les données quantitaives ne sont pas affichées pour cette formation</t>
        </r>
      </text>
    </comment>
    <comment ref="B42" authorId="0" shapeId="0" xr:uid="{EB0A0DA2-B17D-4CF6-B475-C84191ACCA8D}">
      <text>
        <r>
          <rPr>
            <b/>
            <sz val="9"/>
            <color indexed="81"/>
            <rFont val="Tahoma"/>
            <family val="2"/>
          </rPr>
          <t>Solene PIGNE:</t>
        </r>
        <r>
          <rPr>
            <sz val="9"/>
            <color indexed="81"/>
            <rFont val="Tahoma"/>
            <family val="2"/>
          </rPr>
          <t xml:space="preserve">
manque méca
</t>
        </r>
      </text>
    </comment>
    <comment ref="C47" authorId="0" shapeId="0" xr:uid="{6A8B4803-53F1-4FC8-B9C6-E38F5DE664B9}">
      <text>
        <r>
          <rPr>
            <b/>
            <sz val="9"/>
            <color indexed="81"/>
            <rFont val="Tahoma"/>
            <family val="2"/>
          </rPr>
          <t>Solene PIGNE:</t>
        </r>
        <r>
          <rPr>
            <sz val="9"/>
            <color indexed="81"/>
            <rFont val="Tahoma"/>
            <family val="2"/>
          </rPr>
          <t xml:space="preserve">
a mettre aussi dans la conception</t>
        </r>
      </text>
    </comment>
    <comment ref="E66" authorId="0" shapeId="0" xr:uid="{4BBC5D36-7B13-46CE-990D-A0FA3CF79928}">
      <text>
        <r>
          <rPr>
            <b/>
            <sz val="9"/>
            <color indexed="81"/>
            <rFont val="Tahoma"/>
            <family val="2"/>
          </rPr>
          <t>Solene PIGNE:</t>
        </r>
        <r>
          <rPr>
            <sz val="9"/>
            <color indexed="81"/>
            <rFont val="Tahoma"/>
            <family val="2"/>
          </rPr>
          <t xml:space="preserve">
Chiffre DUT + parait faible
</t>
        </r>
      </text>
    </comment>
    <comment ref="C75" authorId="0" shapeId="0" xr:uid="{26AC9FD5-1FFA-45B2-9574-4F58C6B6CFD0}">
      <text>
        <r>
          <rPr>
            <b/>
            <sz val="9"/>
            <color indexed="81"/>
            <rFont val="Tahoma"/>
            <family val="2"/>
          </rPr>
          <t>Solene PIGNE:</t>
        </r>
        <r>
          <rPr>
            <sz val="9"/>
            <color indexed="81"/>
            <rFont val="Tahoma"/>
            <family val="2"/>
          </rPr>
          <t xml:space="preserve">
Du fait du manque de donnée, les données quantitaives ne sont pas affichées pour cette formation</t>
        </r>
      </text>
    </comment>
    <comment ref="C76" authorId="0" shapeId="0" xr:uid="{D6E92D78-2852-4884-8B13-339117C51649}">
      <text>
        <r>
          <rPr>
            <b/>
            <sz val="9"/>
            <color indexed="81"/>
            <rFont val="Tahoma"/>
            <family val="2"/>
          </rPr>
          <t>Solene PIGNE:</t>
        </r>
        <r>
          <rPr>
            <sz val="9"/>
            <color indexed="81"/>
            <rFont val="Tahoma"/>
            <family val="2"/>
          </rPr>
          <t xml:space="preserve">
Du fait du manque de donnée, les données quantitaives ne sont pas affichées pour cette formation</t>
        </r>
      </text>
    </comment>
    <comment ref="B78" authorId="0" shapeId="0" xr:uid="{0F0B060F-7738-4800-89A5-551B6584A875}">
      <text>
        <r>
          <rPr>
            <b/>
            <sz val="9"/>
            <color indexed="81"/>
            <rFont val="Tahoma"/>
            <family val="2"/>
          </rPr>
          <t>Solene PIGNE:</t>
        </r>
        <r>
          <rPr>
            <sz val="9"/>
            <color indexed="81"/>
            <rFont val="Tahoma"/>
            <family val="2"/>
          </rPr>
          <t xml:space="preserve">
hydropneumatique à ajouter
</t>
        </r>
      </text>
    </comment>
    <comment ref="B96" authorId="0" shapeId="0" xr:uid="{88DF30C6-1F53-4D6D-90CC-DD267CC753FC}">
      <text>
        <r>
          <rPr>
            <b/>
            <sz val="9"/>
            <color indexed="81"/>
            <rFont val="Tahoma"/>
            <family val="2"/>
          </rPr>
          <t>Solene PIGNE:</t>
        </r>
        <r>
          <rPr>
            <sz val="9"/>
            <color indexed="81"/>
            <rFont val="Tahoma"/>
            <family val="2"/>
          </rPr>
          <t xml:space="preserve">
, techniques d'isolation et de vide</t>
        </r>
      </text>
    </comment>
    <comment ref="B103" authorId="0" shapeId="0" xr:uid="{9831C68E-9B44-43A8-89B7-5F62FC69CEBE}">
      <text>
        <r>
          <rPr>
            <b/>
            <sz val="9"/>
            <color indexed="81"/>
            <rFont val="Tahoma"/>
            <family val="2"/>
          </rPr>
          <t>Solene PIGNE:</t>
        </r>
        <r>
          <rPr>
            <sz val="9"/>
            <color indexed="81"/>
            <rFont val="Tahoma"/>
            <family val="2"/>
          </rPr>
          <t xml:space="preserve">
soudage </t>
        </r>
      </text>
    </comment>
    <comment ref="B108" authorId="0" shapeId="0" xr:uid="{13155172-BC64-4D1B-AC7D-3E531FED8282}">
      <text>
        <r>
          <rPr>
            <b/>
            <sz val="9"/>
            <color indexed="81"/>
            <rFont val="Tahoma"/>
            <family val="2"/>
          </rPr>
          <t>Solene PIGNE:</t>
        </r>
        <r>
          <rPr>
            <sz val="9"/>
            <color indexed="81"/>
            <rFont val="Tahoma"/>
            <family val="2"/>
          </rPr>
          <t xml:space="preserve">
Génie climatique n'y est pas toujours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Solene PIGNE</author>
    <author>tc={BE407B65-6EE6-4AEA-A583-138176A1731B}</author>
  </authors>
  <commentList>
    <comment ref="H2" authorId="0" shapeId="0" xr:uid="{7E102238-0EF5-4C09-B437-83C1BA63450F}">
      <text>
        <r>
          <rPr>
            <b/>
            <sz val="9"/>
            <color indexed="81"/>
            <rFont val="Tahoma"/>
            <family val="2"/>
          </rPr>
          <t>Solene PIGNE:</t>
        </r>
        <r>
          <rPr>
            <sz val="9"/>
            <color indexed="81"/>
            <rFont val="Tahoma"/>
            <family val="2"/>
          </rPr>
          <t xml:space="preserve">
Données provenant directement de la modélisation des besoins en postes effectuée dans le cadre de l'étude  "Diagnostic emplois-compétences pour le développement de l'hydrogène en région Pays de la Loire".</t>
        </r>
      </text>
    </comment>
    <comment ref="O2" authorId="0" shapeId="0" xr:uid="{DAC61E71-CACD-4095-B5E3-DDAED5924665}">
      <text>
        <r>
          <rPr>
            <b/>
            <sz val="9"/>
            <color indexed="81"/>
            <rFont val="Tahoma"/>
            <family val="2"/>
          </rPr>
          <t>Solene PIGNE:</t>
        </r>
        <r>
          <rPr>
            <sz val="9"/>
            <color indexed="81"/>
            <rFont val="Tahoma"/>
            <family val="2"/>
          </rPr>
          <t xml:space="preserve">
Données provenant directement de la modélisation des besoins en postes effectuée dans le cadre de l'étude  "Diagnostic emplois-compétences pour le développement de l'hydrogène en région Pays de la Loire".</t>
        </r>
      </text>
    </comment>
    <comment ref="D4" authorId="0" shapeId="0" xr:uid="{736F061B-2584-424A-8EED-76C4A4D2426C}">
      <text>
        <r>
          <rPr>
            <b/>
            <sz val="9"/>
            <color indexed="81"/>
            <rFont val="Tahoma"/>
            <family val="2"/>
          </rPr>
          <t>Solene PIGNE:</t>
        </r>
        <r>
          <rPr>
            <sz val="9"/>
            <color indexed="81"/>
            <rFont val="Tahoma"/>
            <family val="2"/>
          </rPr>
          <t xml:space="preserve"> prend  en compte les nouvelles formations de l'onglet d'avant </t>
        </r>
      </text>
    </comment>
    <comment ref="M4" authorId="1" shapeId="0" xr:uid="{BE407B65-6EE6-4AEA-A583-138176A173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Veut dire qu'il faut plus de place? Ou on table sur un développement des formations? Intégrer un taux de croissance?
Réponse :
    Signifie besoin de formation continue</t>
      </text>
    </comment>
    <comment ref="D15" authorId="0" shapeId="0" xr:uid="{1D7FF809-D64F-477E-91C7-F68F6C74D2D5}">
      <text>
        <r>
          <rPr>
            <b/>
            <sz val="9"/>
            <color indexed="81"/>
            <rFont val="Tahoma"/>
            <family val="2"/>
          </rPr>
          <t>Solene PIGNE:</t>
        </r>
        <r>
          <rPr>
            <sz val="9"/>
            <color indexed="81"/>
            <rFont val="Tahoma"/>
            <family val="2"/>
          </rPr>
          <t xml:space="preserve">
dans le 72</t>
        </r>
      </text>
    </comment>
    <comment ref="C27" authorId="0" shapeId="0" xr:uid="{BC486104-0E1D-49BC-ADA8-B2ECA72F90D6}">
      <text>
        <r>
          <rPr>
            <b/>
            <sz val="9"/>
            <color indexed="81"/>
            <rFont val="Tahoma"/>
            <family val="2"/>
          </rPr>
          <t>Solene PIGNE:</t>
        </r>
        <r>
          <rPr>
            <sz val="9"/>
            <color indexed="81"/>
            <rFont val="Tahoma"/>
            <family val="2"/>
          </rPr>
          <t xml:space="preserve">
Du fait du manque de donnée, les données quantitaives ne sont pas affichées pour cette formation</t>
        </r>
      </text>
    </comment>
    <comment ref="C30" authorId="0" shapeId="0" xr:uid="{2C7FF563-7D20-4037-AA86-71ADFA5681E5}">
      <text>
        <r>
          <rPr>
            <b/>
            <sz val="9"/>
            <color indexed="81"/>
            <rFont val="Tahoma"/>
            <family val="2"/>
          </rPr>
          <t>Solene PIGNE:</t>
        </r>
        <r>
          <rPr>
            <sz val="9"/>
            <color indexed="81"/>
            <rFont val="Tahoma"/>
            <family val="2"/>
          </rPr>
          <t xml:space="preserve">
a mettre aussi dans la conception</t>
        </r>
      </text>
    </comment>
    <comment ref="B36" authorId="0" shapeId="0" xr:uid="{54358479-867E-4D83-BFCE-9DFE42286E6D}">
      <text>
        <r>
          <rPr>
            <b/>
            <sz val="9"/>
            <color indexed="81"/>
            <rFont val="Tahoma"/>
            <family val="2"/>
          </rPr>
          <t>Solene PIGNE:</t>
        </r>
        <r>
          <rPr>
            <sz val="9"/>
            <color indexed="81"/>
            <rFont val="Tahoma"/>
            <family val="2"/>
          </rPr>
          <t xml:space="preserve">
Conversion de puissance : ajouter autre formation?
</t>
        </r>
      </text>
    </comment>
    <comment ref="B41" authorId="0" shapeId="0" xr:uid="{5109CD93-1E29-47E8-BE11-AA152DB3E5E4}">
      <text>
        <r>
          <rPr>
            <b/>
            <sz val="9"/>
            <color indexed="81"/>
            <rFont val="Tahoma"/>
            <family val="2"/>
          </rPr>
          <t>Solene PIGNE:</t>
        </r>
        <r>
          <rPr>
            <sz val="9"/>
            <color indexed="81"/>
            <rFont val="Tahoma"/>
            <family val="2"/>
          </rPr>
          <t xml:space="preserve">
manque méca
</t>
        </r>
      </text>
    </comment>
    <comment ref="B43" authorId="0" shapeId="0" xr:uid="{844652F9-A7CA-4478-8BBF-6096666BCC3D}">
      <text>
        <r>
          <rPr>
            <b/>
            <sz val="9"/>
            <color indexed="81"/>
            <rFont val="Tahoma"/>
            <family val="2"/>
          </rPr>
          <t>Solene PIGNE:</t>
        </r>
        <r>
          <rPr>
            <sz val="9"/>
            <color indexed="81"/>
            <rFont val="Tahoma"/>
            <family val="2"/>
          </rPr>
          <t xml:space="preserve">
+technique d'sisoltion par le vide pour les ingé
</t>
        </r>
      </text>
    </comment>
    <comment ref="A45" authorId="0" shapeId="0" xr:uid="{E606A797-9631-48B5-B885-5C724FA61F4D}">
      <text>
        <r>
          <rPr>
            <b/>
            <sz val="9"/>
            <color indexed="81"/>
            <rFont val="Tahoma"/>
            <family val="2"/>
          </rPr>
          <t>Solene PIGNE:</t>
        </r>
        <r>
          <rPr>
            <sz val="9"/>
            <color indexed="81"/>
            <rFont val="Tahoma"/>
            <family val="2"/>
          </rPr>
          <t xml:space="preserve">
Pour la conception : tous dans la même case mais pa pour la maintenance?</t>
        </r>
      </text>
    </comment>
    <comment ref="E59" authorId="0" shapeId="0" xr:uid="{324A785D-0DA6-4EF0-88AB-1418D9783A26}">
      <text>
        <r>
          <rPr>
            <b/>
            <sz val="9"/>
            <color indexed="81"/>
            <rFont val="Tahoma"/>
            <family val="2"/>
          </rPr>
          <t>Solene PIGNE:</t>
        </r>
        <r>
          <rPr>
            <sz val="9"/>
            <color indexed="81"/>
            <rFont val="Tahoma"/>
            <family val="2"/>
          </rPr>
          <t xml:space="preserve">
Chiffre DUT + parait faible
</t>
        </r>
      </text>
    </comment>
    <comment ref="B70" authorId="0" shapeId="0" xr:uid="{CA36B418-BBC4-4E4A-8C9E-E610C8566FAA}">
      <text>
        <r>
          <rPr>
            <b/>
            <sz val="9"/>
            <color indexed="81"/>
            <rFont val="Tahoma"/>
            <family val="2"/>
          </rPr>
          <t>Solene PIGNE:</t>
        </r>
        <r>
          <rPr>
            <sz val="9"/>
            <color indexed="81"/>
            <rFont val="Tahoma"/>
            <family val="2"/>
          </rPr>
          <t xml:space="preserve">
hydropneumatique à ajouter
</t>
        </r>
      </text>
    </comment>
    <comment ref="B88" authorId="0" shapeId="0" xr:uid="{038C5ACF-B9A1-4DBF-AC1A-85611938AA7D}">
      <text>
        <r>
          <rPr>
            <b/>
            <sz val="9"/>
            <color indexed="81"/>
            <rFont val="Tahoma"/>
            <family val="2"/>
          </rPr>
          <t>Solene PIGNE:</t>
        </r>
        <r>
          <rPr>
            <sz val="9"/>
            <color indexed="81"/>
            <rFont val="Tahoma"/>
            <family val="2"/>
          </rPr>
          <t xml:space="preserve">
, techniques d'isolation et de vide</t>
        </r>
      </text>
    </comment>
    <comment ref="G94" authorId="0" shapeId="0" xr:uid="{5AF04916-14BF-47ED-B5E3-9A71E685CA12}">
      <text>
        <r>
          <rPr>
            <b/>
            <sz val="9"/>
            <color indexed="81"/>
            <rFont val="Tahoma"/>
            <family val="2"/>
          </rPr>
          <t>Solene PIGNE:Séparer la partie production et conception? Avec un moduel plus opé?</t>
        </r>
      </text>
    </comment>
    <comment ref="B95" authorId="0" shapeId="0" xr:uid="{0E8B89E5-09D8-4A71-932F-1E23AEE439A7}">
      <text>
        <r>
          <rPr>
            <b/>
            <sz val="9"/>
            <color indexed="81"/>
            <rFont val="Tahoma"/>
            <family val="2"/>
          </rPr>
          <t>Solene PIGNE:</t>
        </r>
        <r>
          <rPr>
            <sz val="9"/>
            <color indexed="81"/>
            <rFont val="Tahoma"/>
            <family val="2"/>
          </rPr>
          <t xml:space="preserve">
soudage </t>
        </r>
      </text>
    </comment>
    <comment ref="B100" authorId="0" shapeId="0" xr:uid="{C93E781F-EF1E-45B9-8FA5-0980A7E3EC38}">
      <text>
        <r>
          <rPr>
            <b/>
            <sz val="9"/>
            <color indexed="81"/>
            <rFont val="Tahoma"/>
            <family val="2"/>
          </rPr>
          <t>Solene PIGNE:</t>
        </r>
        <r>
          <rPr>
            <sz val="9"/>
            <color indexed="81"/>
            <rFont val="Tahoma"/>
            <family val="2"/>
          </rPr>
          <t xml:space="preserve">
Génie climatique n'y est pas toujours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<sst xmlns="http://schemas.openxmlformats.org/spreadsheetml/2006/main" count="1019" uniqueCount="445">
  <si>
    <t xml:space="preserve">Formation </t>
  </si>
  <si>
    <t>Nombre diplomés sans poursuite d'étude en 2030</t>
  </si>
  <si>
    <t>Bac Pro Maintenance des systèmes de production connectés</t>
  </si>
  <si>
    <t>Hypothèses</t>
  </si>
  <si>
    <t>2030 - scénario modéré</t>
  </si>
  <si>
    <t>% de l'effectif actuel</t>
  </si>
  <si>
    <t>2030 - scénario haut</t>
  </si>
  <si>
    <t xml:space="preserve">Bac Pro électromécanicien marine </t>
  </si>
  <si>
    <t xml:space="preserve">Fabrication d’équipement – mobilité maritime </t>
  </si>
  <si>
    <t xml:space="preserve">Bac Pro métiers de l’électricité et de ses environnement concernés </t>
  </si>
  <si>
    <t>Nombre de places anuelles</t>
  </si>
  <si>
    <t>Nombre de postes concernés</t>
  </si>
  <si>
    <t>Nombre de places à ouvrir</t>
  </si>
  <si>
    <t xml:space="preserve">Nombre de postes concernés </t>
  </si>
  <si>
    <t>Fabrication de système de stockage</t>
  </si>
  <si>
    <t>Fabrication PAC (stack et BOP)</t>
  </si>
  <si>
    <t>CAP Réalisations industrielles en chaudronnerie ou soudage - option A chaudronnerie</t>
  </si>
  <si>
    <t>CAP Réalisations industrielles en chaudronnerie ou soudage - option B soudage</t>
  </si>
  <si>
    <t>Bac pro Technicien en chaudronnerie industrielle</t>
  </si>
  <si>
    <t>Evolution à apporter dans le programme</t>
  </si>
  <si>
    <t xml:space="preserve">Priorisation géographique </t>
  </si>
  <si>
    <t>Scénario 2030 - modéré</t>
  </si>
  <si>
    <t>Scénario 2030 - haut</t>
  </si>
  <si>
    <t>Nombre de places à ouvrir d'ici 2026</t>
  </si>
  <si>
    <t>Part de l'effectif actuel</t>
  </si>
  <si>
    <t xml:space="preserve">Formations </t>
  </si>
  <si>
    <t>Commentaires</t>
  </si>
  <si>
    <t>Nombre de places actuel</t>
  </si>
  <si>
    <t>Scénario 2030 - bas</t>
  </si>
  <si>
    <t xml:space="preserve">Commentaires </t>
  </si>
  <si>
    <t>Année de modification des formations</t>
  </si>
  <si>
    <t>ans</t>
  </si>
  <si>
    <t>https://www.choisirmonmetier-paysdelaloire.fr/</t>
  </si>
  <si>
    <t>Fabrication équipements – mobilité routière légère</t>
  </si>
  <si>
    <t>Fabrication équipements – mobilité routière lourde</t>
  </si>
  <si>
    <t xml:space="preserve">Instalation, exploitation et maintenance de sites de production et de distribution </t>
  </si>
  <si>
    <t>Bac Pro  pilote de ligne de production</t>
  </si>
  <si>
    <t>Maintenance d'équipement - véhicules routiers lourds</t>
  </si>
  <si>
    <t xml:space="preserve">Maintenance d'équipement - véhicules routiers légers </t>
  </si>
  <si>
    <t xml:space="preserve">Maintenance d'équipement - chariots de manutention </t>
  </si>
  <si>
    <t>Nombre de places annuelles minimum</t>
  </si>
  <si>
    <t>% minimum de l'effectif pour lequel adapter la formation</t>
  </si>
  <si>
    <t>Exploitation - usine de production de molécules de synthèse</t>
  </si>
  <si>
    <t>LP Maintenance des systèmes industriels, de production et d'énergie, Parcours maintenance des systèmes automatisés</t>
  </si>
  <si>
    <t>Titre professionnel électromécanicien de maintenance industrielle</t>
  </si>
  <si>
    <t>Titre professionnel tuyauteur industriel</t>
  </si>
  <si>
    <t>Titre professionnel technicien de maintenance industrielle</t>
  </si>
  <si>
    <t>BTS - Production - Maintenance des systèmes - option B Systèmes énergétiques et fluidiques</t>
  </si>
  <si>
    <t>BTS - Production - Fluide, énergie, domotique - option A génie climatique et fluidique</t>
  </si>
  <si>
    <t>CQP Mécanicien de maintenance automobile</t>
  </si>
  <si>
    <t>inconnu</t>
  </si>
  <si>
    <t>Titre professionnel mécanicien(ne) automobile</t>
  </si>
  <si>
    <t>FCIL Métiers Connexes Automobile</t>
  </si>
  <si>
    <t>BTS - Production - Maintenance des véhicules option voitures particulières</t>
  </si>
  <si>
    <t>BTS - Production - Maintenance des véhicules option véhicules de transport routier</t>
  </si>
  <si>
    <t>BTS - Production - Motorisations toutes énergies</t>
  </si>
  <si>
    <t>BTS - Production - Métiers de la mesure</t>
  </si>
  <si>
    <t>BUT - Mesures physiques</t>
  </si>
  <si>
    <t xml:space="preserve">Automatisme, contrôle commande, conversion de puissance </t>
  </si>
  <si>
    <t>BTS - Maritime - Mécatronique Navale</t>
  </si>
  <si>
    <t>BTS - Production - Conception et industrialisation en construction navale</t>
  </si>
  <si>
    <t>LP Métiers de l'industrie : industrie navale et maritime, Parcours Ingénierie Navale et Nautique</t>
  </si>
  <si>
    <t>Mécanique, mécanique des fluides, automatisme</t>
  </si>
  <si>
    <t>génie électrique, contrôle et essais,schéma électriques et dimmensionnement, génie mécanique</t>
  </si>
  <si>
    <t>BTS - Production - Conception et industrialisation en microtechniques</t>
  </si>
  <si>
    <t>BTS - Production - Electrotechnique</t>
  </si>
  <si>
    <t>Fabrication d'équipement et conception : avion H2</t>
  </si>
  <si>
    <t>BTS - Production - Aéronautique</t>
  </si>
  <si>
    <t>Mention Complémentaire technicien(ne) en chaudronnerie aéronautique et spatiale</t>
  </si>
  <si>
    <t>Instalation, exploitation et maintenance de sites de production par électrolyse</t>
  </si>
  <si>
    <t>Electricité, gaz, thermique</t>
  </si>
  <si>
    <t>Installation exploitation et maintenance de station de distribution</t>
  </si>
  <si>
    <t>BTS - Production - Métiers de la chimie</t>
  </si>
  <si>
    <t>BTS - Production - Pilotage des procédés</t>
  </si>
  <si>
    <t>BUT - Chimie</t>
  </si>
  <si>
    <t>BUT - Génie chimique génie des procédés</t>
  </si>
  <si>
    <t>LP Maîtrise de l’énergie, électricité, développement durable, Parcours Génie thermique</t>
  </si>
  <si>
    <t xml:space="preserve">Instalation, exploitation et maintenance de sites de production via biomasse et de site de méthanation </t>
  </si>
  <si>
    <t>génie climatique , génie électrique, soudure/plomberie, génie automatique (caméra, détection de gaz).</t>
  </si>
  <si>
    <t>BUT - Métiers de la Transition et de l'Efficacité Énergétiques</t>
  </si>
  <si>
    <t>Manque le thermique : est ce qu'on met toutes les compétences soudure/tuyauterie à part? Car n'est pas dans les autres</t>
  </si>
  <si>
    <t>Recherche</t>
  </si>
  <si>
    <t>Métrologie et mécanique</t>
  </si>
  <si>
    <t>LP Maintenance et technologie : contrôle industriel - Parcours Essai et Contrôle Non Destructif</t>
  </si>
  <si>
    <t>Niv 3 et 4</t>
  </si>
  <si>
    <t>https://www.enseignementsup-recherche.gouv.fr/fr/l-insertion-professionnelle-des-diplomes-2019-de-licence-professionnelle-atteint-95-au-1er-decembre-87349#:~:text=%7COctobre%202022-,L'insertion%20professionnelle%20des%20dipl%C3%B4m%C3%A9s%202019%20de%20licence%20professionnelle%20atteint,dipl%C3%B4m%C3%A9s%20de%20la%20promotion%20pr%C3%A9c%C3%A9dente.</t>
  </si>
  <si>
    <t>CQP et TP</t>
  </si>
  <si>
    <t>Niv 5 et 6</t>
  </si>
  <si>
    <t>CQP  Mécanicien de Maintenance véhicules utilitaires et industriels</t>
  </si>
  <si>
    <t>Titre professionnel mécanicien réparateur de véhicules industriels</t>
  </si>
  <si>
    <t>Titre professionnel mécanicien(ne) réparateur(trice) de matériels de chantier et de manutention</t>
  </si>
  <si>
    <t>BTS - Production - Maintenance des matériels de construction et de manutention</t>
  </si>
  <si>
    <t>Génie climatique, mécanique, montage assemblage</t>
  </si>
  <si>
    <t>Conception d'équipement</t>
  </si>
  <si>
    <t>BUT - Génie mécanique et productique</t>
  </si>
  <si>
    <t xml:space="preserve">Conception d'équipement </t>
  </si>
  <si>
    <t>Métrologie (partie teste et essaie)</t>
  </si>
  <si>
    <t>Métrologie (partie test et essais)</t>
  </si>
  <si>
    <t>Conception d’infrastructures de production et de distribution (méthanation incluse)</t>
  </si>
  <si>
    <t>BUT</t>
  </si>
  <si>
    <t xml:space="preserve">Niv 3 et 4 </t>
  </si>
  <si>
    <t xml:space="preserve">Adapter les programme en Loire Atlantique </t>
  </si>
  <si>
    <t>Génie thermique, soudage, gestion des fluides (gaz et liquie), métrologie, physique chimie de l'H2 (: électrotechnique et plomberie haute pression.)</t>
  </si>
  <si>
    <r>
      <rPr>
        <b/>
        <sz val="11"/>
        <color theme="1"/>
        <rFont val="Arial"/>
        <family val="2"/>
        <scheme val="minor"/>
      </rPr>
      <t>Bloc de compétence:  génie climatique, mécanique (axé mobilité lourde), montage-assemblage</t>
    </r>
    <r>
      <rPr>
        <sz val="11"/>
        <color theme="1"/>
        <rFont val="Arial"/>
        <family val="2"/>
        <scheme val="minor"/>
      </rPr>
      <t xml:space="preserve">
</t>
    </r>
    <r>
      <rPr>
        <i/>
        <sz val="11"/>
        <color theme="1"/>
        <rFont val="Arial"/>
        <family val="2"/>
        <scheme val="minor"/>
      </rPr>
      <t>(BTS - Production - Fluide, énergie, domotique - option A génie climatique et fluidique ; BTS - Production - Maintenance des systèmes - option B Systèmes énergétiques et fluidiques; BTS - Production - Motorisations toutes énergies; BTS - Production - Maintenance des véhicules option véhicules de transport routier; CQP  Mécanicien de Maintenance véhicules utilitaires et industriels; Titre professionnel mécanicien réparateur de véhicules industriels)</t>
    </r>
  </si>
  <si>
    <t>Dissémination nécessaire sur tout le territoire</t>
  </si>
  <si>
    <t>Brevet d'officier électrotechnicien cursus externe</t>
  </si>
  <si>
    <t>Maintenance de navires légers ou martimes</t>
  </si>
  <si>
    <t>Fabrication d'équipements - mobilité routière, chariots de manutentions</t>
  </si>
  <si>
    <t>Electricité, gaz, thermique 
Compétences opérationelles: supervision des machines et réglages, maintenance (diagnostiquer un incident).</t>
  </si>
  <si>
    <t>Génie des procédés</t>
  </si>
  <si>
    <t>Génie climatique , génie électrique, soudure/plomberie, génie automatique (caméra, détection de gaz).</t>
  </si>
  <si>
    <r>
      <rPr>
        <b/>
        <sz val="11"/>
        <color theme="1"/>
        <rFont val="Arial"/>
        <family val="2"/>
        <scheme val="minor"/>
      </rPr>
      <t>Bloc de compétences : génie thermique, soudage, gestion des fluides (gaz et liquide), métrologie
Domaine d'usage : avion H2</t>
    </r>
    <r>
      <rPr>
        <b/>
        <i/>
        <sz val="11"/>
        <color theme="1"/>
        <rFont val="Arial"/>
        <family val="2"/>
        <scheme val="minor"/>
      </rPr>
      <t xml:space="preserve">
</t>
    </r>
    <r>
      <rPr>
        <i/>
        <sz val="11"/>
        <color theme="1"/>
        <rFont val="Arial"/>
        <family val="2"/>
        <scheme val="minor"/>
      </rPr>
      <t xml:space="preserve">(BTS - Production - Aéronautique; Mention Complémentaire technicien(ne) en chaudronnerie aéronautique et spatiale) </t>
    </r>
  </si>
  <si>
    <r>
      <rPr>
        <b/>
        <sz val="11"/>
        <color theme="1"/>
        <rFont val="Arial"/>
        <family val="2"/>
        <scheme val="minor"/>
      </rPr>
      <t>Bloc de compétences : génie des procédés</t>
    </r>
    <r>
      <rPr>
        <sz val="11"/>
        <color theme="1"/>
        <rFont val="Arial"/>
        <family val="2"/>
        <scheme val="minor"/>
      </rPr>
      <t xml:space="preserve">
</t>
    </r>
    <r>
      <rPr>
        <i/>
        <sz val="11"/>
        <color theme="1"/>
        <rFont val="Arial"/>
        <family val="2"/>
        <scheme val="minor"/>
      </rPr>
      <t>(BTS - Production - Métiers de la chimie; BTS - Production - Pilotage des procédés; BUT - Chimie; BUT - Génie chimique génie des procédés; LP Maîtrise de l’énergie, électricité, développement durable, Parcours Génie thermique)</t>
    </r>
  </si>
  <si>
    <r>
      <rPr>
        <b/>
        <sz val="11"/>
        <color theme="1"/>
        <rFont val="Arial"/>
        <family val="2"/>
        <scheme val="minor"/>
      </rPr>
      <t xml:space="preserve"> Bloc de compétences : maintenance de chariots de manutention</t>
    </r>
    <r>
      <rPr>
        <sz val="11"/>
        <color theme="1"/>
        <rFont val="Arial"/>
        <family val="2"/>
        <scheme val="minor"/>
      </rPr>
      <t xml:space="preserve">
</t>
    </r>
    <r>
      <rPr>
        <i/>
        <sz val="11"/>
        <color theme="1"/>
        <rFont val="Arial"/>
        <family val="2"/>
        <scheme val="minor"/>
      </rPr>
      <t>(BTS - Production - Motorisations toutes énergies; Titre professionnel mécanicien(ne) réparateur(trice) de matériels de chantier et de manutention; BTS - Production - Maintenance des matériels de construction et de manutention)</t>
    </r>
  </si>
  <si>
    <t>Niveau 7</t>
  </si>
  <si>
    <t>Ingénieur process gaz à privilégier</t>
  </si>
  <si>
    <t>Ingénierie des Procédés Innovants (IPI)</t>
  </si>
  <si>
    <t>Formations d'ingénieur généraliste</t>
  </si>
  <si>
    <t>Master Ingénierie des systèmes complexes, Parcours Interdisciplinaire en Technologies Innovantes</t>
  </si>
  <si>
    <t>Master Sciences de la matière, Parcours Energies Nouvelles et Renouvelables</t>
  </si>
  <si>
    <t>Instalation, exploitation et maintenance de sites de production par électrolyse et des stations de distribution</t>
  </si>
  <si>
    <t xml:space="preserve">Mécanique des fluide (gaz), électricité, mécanique, automatismes, génie climatique </t>
  </si>
  <si>
    <t>Instalation, exploitation et maintenance des sites de production à partir de biomasse et de méthanation</t>
  </si>
  <si>
    <t>Chimie</t>
  </si>
  <si>
    <t>Cursus Master en Ingénierie : Chimie Environnement</t>
  </si>
  <si>
    <t>Master Chimie, Parcours Sciences et Ingénierie de l’environnement</t>
  </si>
  <si>
    <t>Master Mécanique, Parcours Thermal Science and Energy</t>
  </si>
  <si>
    <t>Ingénieur diplômé de l’ISMANS, cursus ingénieur mécanique</t>
  </si>
  <si>
    <t xml:space="preserve">Ingénieur CESI, spécialité Systèmes Electroniques et Electriques Embarqués </t>
  </si>
  <si>
    <t>Ingénieur diplômé de l’ESEO, spécialité systèmes embarqués</t>
  </si>
  <si>
    <t>Ingénieur diplômé de l’ESIEA spécialisé en Systèmes Embarqués &amp; Autonomes</t>
  </si>
  <si>
    <t>Master - Energétique et Propulsion</t>
  </si>
  <si>
    <t>Ingénieur diplômé de l’ESTACA, filière Aéronautique</t>
  </si>
  <si>
    <t>Conception d'équipement - mobilité routière et navale</t>
  </si>
  <si>
    <t>Ingénieur diplômé de l’ESTACA, filière Automobile/filière Navale</t>
  </si>
  <si>
    <t>Conception d'équipement - Stack BOP</t>
  </si>
  <si>
    <t xml:space="preserve"> Ingénieur diplômé de Polytech Angers, spécialité Qualité, Innovation, Fiabilité</t>
  </si>
  <si>
    <t>Ingénieur diplômé de Polytech Nantes spécialité Électronique et technologies numériques</t>
  </si>
  <si>
    <t>% des activités de conception associées</t>
  </si>
  <si>
    <t>Master Electronique, énergie électrique, automatique</t>
  </si>
  <si>
    <t>Ingénieur diplômé de l’ESEO, spécialité électronique et objets connectés</t>
  </si>
  <si>
    <t xml:space="preserve">Electronique
</t>
  </si>
  <si>
    <t>Mécanique, génie élecrtique, outils de conception</t>
  </si>
  <si>
    <t>Cursus Master en Ingénierie - Ingénierie en Calcul Mécanique</t>
  </si>
  <si>
    <t>On a deux profils différents pour cette activité</t>
  </si>
  <si>
    <t xml:space="preserve">Conception d'équipement - système de stockage </t>
  </si>
  <si>
    <t xml:space="preserve">Gaz, automatisme, génie climatique/thermique, génie des matériaux </t>
  </si>
  <si>
    <t xml:space="preserve">Recherche </t>
  </si>
  <si>
    <t xml:space="preserve">Graduate Programme Matériaux innovants et systèmes énergétiques - niveau Master </t>
  </si>
  <si>
    <t>Ingénieur diplômé de l’ISMANS, cursus ingénieur des matériaux</t>
  </si>
  <si>
    <t>Ingénieur diplômé de Polytech Nantes spécialité Ingénieur Thermique Énergétique et Mécanique</t>
  </si>
  <si>
    <t xml:space="preserve">Conception,  génie logiciel, contrôle commande, électricité, mécanique
</t>
  </si>
  <si>
    <t>Ingénieur diplômé de l’ESAIP, spécialité Gestion des risques et environnement</t>
  </si>
  <si>
    <t>Mastère Spécialisé Management Qualité Sécurité Environnement – Stratégie</t>
  </si>
  <si>
    <t>Mastère Spécialisé Management de la Sécurité et des Risques Industriels</t>
  </si>
  <si>
    <t>Master Risques et environnement, Parcours Gestion des Risques - Santé Sécurité Environnement</t>
  </si>
  <si>
    <t>Génie thermique, gestion des fluides (gaz et liquidie)</t>
  </si>
  <si>
    <t xml:space="preserve">Exemples de Formations </t>
  </si>
  <si>
    <t>Formation ingénieurs généralistes</t>
  </si>
  <si>
    <t xml:space="preserve">Sécurité, qualité </t>
  </si>
  <si>
    <t xml:space="preserve">Certification des équipements et infrastrusture </t>
  </si>
  <si>
    <t>Conception et prouction d'équipement - Avion H2</t>
  </si>
  <si>
    <t>Master Electronique, énergie électrique, automatique ; Parcours Systèmes Electroniques Embarqués Connectés ; Parcours Capteurs Intelligents et qualité des Systèmes Electroniques</t>
  </si>
  <si>
    <t>Thermique, modélisation, gaz, matériaux</t>
  </si>
  <si>
    <r>
      <rPr>
        <b/>
        <sz val="11"/>
        <color theme="1"/>
        <rFont val="Arial"/>
        <family val="2"/>
        <scheme val="minor"/>
      </rPr>
      <t>Niveau 7</t>
    </r>
    <r>
      <rPr>
        <sz val="11"/>
        <color theme="1"/>
        <rFont val="Arial"/>
        <family val="2"/>
        <scheme val="minor"/>
      </rPr>
      <t xml:space="preserve"> </t>
    </r>
  </si>
  <si>
    <t xml:space="preserve">Conception d'infrastructure </t>
  </si>
  <si>
    <t>Aujourd’hui ils recherchent des profils plus poussés dans les calculs (Centrale Nantes, ingénieurs énergies ou transitions énergétiques provenant de plus petites école (expertise thermiques, fluides, électricité))</t>
  </si>
  <si>
    <t>Ingénieur diplômé de Polytech Nantes spécialité Maîtrise des énergies par apprentissage</t>
  </si>
  <si>
    <t>Ingénieur diplômé de Polytech Nantes spécialité Énergie Électrique</t>
  </si>
  <si>
    <t>Master Electronique, énergie électrique, automatique, Parcours Systèmes Électroniques Embarqués Connectés ; Parcours Energie Électrique</t>
  </si>
  <si>
    <t>Energies (thermique, fluide, électricité)</t>
  </si>
  <si>
    <t xml:space="preserve">Vernis H2 </t>
  </si>
  <si>
    <t xml:space="preserve">Module Mobilité H2 </t>
  </si>
  <si>
    <t>Module H2 "Conception et essais"</t>
  </si>
  <si>
    <t>Nombre d'années entre 2030 et 2040</t>
  </si>
  <si>
    <t xml:space="preserve">Hypothèses temporelles </t>
  </si>
  <si>
    <t>Hypothèses liées aux effectifs et taux d'insertion des formations</t>
  </si>
  <si>
    <t>BTS</t>
  </si>
  <si>
    <t>Licences professionnelles</t>
  </si>
  <si>
    <t>Master</t>
  </si>
  <si>
    <t>Sources :</t>
  </si>
  <si>
    <t>Responsable QSE</t>
  </si>
  <si>
    <t>Chaudronnier</t>
  </si>
  <si>
    <t>Soudeur (niv 3 et 4)</t>
  </si>
  <si>
    <t>Soudeur (niv 5 et 6)</t>
  </si>
  <si>
    <t>Automaticien (niv 7)</t>
  </si>
  <si>
    <t>Hypothèses liées aux métiers transverses</t>
  </si>
  <si>
    <r>
      <rPr>
        <b/>
        <sz val="11"/>
        <color rgb="FF202124"/>
        <rFont val="Arial"/>
        <family val="2"/>
        <scheme val="minor"/>
      </rPr>
      <t>Bloc de compétences : mécanique, mécanique des fluides, automatisme</t>
    </r>
    <r>
      <rPr>
        <sz val="11"/>
        <color rgb="FF202124"/>
        <rFont val="Arial"/>
        <family val="2"/>
        <scheme val="minor"/>
      </rPr>
      <t xml:space="preserve">
</t>
    </r>
    <r>
      <rPr>
        <i/>
        <sz val="11"/>
        <color rgb="FF202124"/>
        <rFont val="Arial"/>
        <family val="2"/>
        <scheme val="minor"/>
      </rPr>
      <t>(Titre professionnel tuyauteur industriel;BTS - Production - Maintenance des systèmes - option B Systèmes énergétiques et fluidiques)</t>
    </r>
  </si>
  <si>
    <r>
      <t>Bloc de compétences : Electronique, conception</t>
    </r>
    <r>
      <rPr>
        <i/>
        <sz val="11"/>
        <color theme="1"/>
        <rFont val="Arial"/>
        <family val="2"/>
        <scheme val="minor"/>
      </rPr>
      <t xml:space="preserve">
(Ingénieur diplômé de Polytech Nantes spécialité Électronique et technologies numériques; Ingénieur CESI, spécialité Systèmes Electroniques et Electriques Embarqués; Master Electronique, énergie électrique, automatique; Ingénieur diplômé de l’ESEO, spécialité électronique et objets connectés)</t>
    </r>
  </si>
  <si>
    <t>Génie thermique, gestion des fluides (gaz et liquide)</t>
  </si>
  <si>
    <r>
      <t xml:space="preserve">Bloc de compétences : Sécurité, qualité 
</t>
    </r>
    <r>
      <rPr>
        <i/>
        <sz val="11"/>
        <color theme="1"/>
        <rFont val="Arial"/>
        <family val="2"/>
        <scheme val="minor"/>
      </rPr>
      <t>( Ingénieur diplômé de Polytech Angers, spécialité Qualité, Innovation, Fiabilité; Ingénieur diplômé de l’ESAIP, spécialité Gestion des risques et environnement; Master Risques et environnement, Parcours Gestion des Risques - Santé Sécurité Environnement; Mastère Spécialisé Management Qualité Sécurité Environnement – Stratégie; Mastère Spécialisé Management de la Sécurité et des Risques Industriels)</t>
    </r>
  </si>
  <si>
    <r>
      <rPr>
        <b/>
        <sz val="11"/>
        <color theme="1"/>
        <rFont val="Arial"/>
        <family val="2"/>
        <scheme val="minor"/>
      </rPr>
      <t>Bloc de compétence : automatisme</t>
    </r>
    <r>
      <rPr>
        <sz val="11"/>
        <color theme="1"/>
        <rFont val="Arial"/>
        <family val="2"/>
        <scheme val="minor"/>
      </rPr>
      <t xml:space="preserve">
</t>
    </r>
    <r>
      <rPr>
        <i/>
        <sz val="11"/>
        <color theme="1"/>
        <rFont val="Arial"/>
        <family val="2"/>
        <scheme val="minor"/>
      </rPr>
      <t>(Master Electronique, énergie électrique, automatique ; Parcours Systèmes Electroniques Embarqués Connectés ; Parcours Capteurs Intelligents et qualité des Systèmes Electroniques; Ingénieur diplômé de Polytech Nantes spécialité Électronique et technologies;Ingénieur diplômé de l’ESEO, spécialité systèmes embarqués;  Ingénieur CESI, spécialité Systèmes Electroniques et Electriques Embarqués  numériques; Ingénieur diplômé de l’ESIEA spécialisé en Systèmes Embarqués &amp; Autonomes)</t>
    </r>
  </si>
  <si>
    <t>Module H2 "Conception et essais" + mécanique des fluides (gaz)</t>
  </si>
  <si>
    <t>Conception, automatismes</t>
  </si>
  <si>
    <t>BTS - Production - Conception et Réalisation de Systèmes Automatiques</t>
  </si>
  <si>
    <r>
      <t xml:space="preserve">Bloc de compétences : conception, automatisme
</t>
    </r>
    <r>
      <rPr>
        <i/>
        <sz val="11"/>
        <color theme="1"/>
        <rFont val="Arial"/>
        <family val="2"/>
        <scheme val="minor"/>
      </rPr>
      <t>(BTS - Production - Conception et Réalisation de Systèmes Automatiques)</t>
    </r>
  </si>
  <si>
    <t xml:space="preserve">Conception et automatisme
</t>
  </si>
  <si>
    <t>En conceptio, l'activité est séparée en deux blocs de compétences : test et essai, et automatismes</t>
  </si>
  <si>
    <t>Automatisme, contôle commande</t>
  </si>
  <si>
    <t>Une expertise en automatisme est nécessaire à la conception de certains équipement H2 ainsi qu'a la mainstenance des infrastructures</t>
  </si>
  <si>
    <t>Chaudronnerie infrastructure et  équipements</t>
  </si>
  <si>
    <t>Soudage infrasrtuctures ou équipements</t>
  </si>
  <si>
    <t>Chaudronnerie</t>
  </si>
  <si>
    <t>Soudage</t>
  </si>
  <si>
    <t>Production d'équipement et installation/maintenance d'infrastructure</t>
  </si>
  <si>
    <t>Soudure</t>
  </si>
  <si>
    <t xml:space="preserve">CQP soudeur industriel </t>
  </si>
  <si>
    <t>Mention Complémentaire technicien en soudage</t>
  </si>
  <si>
    <t>Titre professionnel agent de fabrication et montage en chaudronnerie</t>
  </si>
  <si>
    <t>BTS - Production - Conception et réalisation en chaudronnerie industrielle</t>
  </si>
  <si>
    <t>Des profils spécialisés en soudure sont nécessaire tout au long de la chaine de valeur</t>
  </si>
  <si>
    <t>Module H2 "Conception et essais" axé usage mobilité + connaissances en hydropneumatique H2</t>
  </si>
  <si>
    <t>Vernis H2 + vision génie des procédés</t>
  </si>
  <si>
    <t>Module H2 "Conception et essais"  + connaissances en hydropneumatique H2</t>
  </si>
  <si>
    <t>Module H2 "Conception et essais"  + connaissances en techniques d'isolation par le vide</t>
  </si>
  <si>
    <t>Module H2 "évaluation des risques et de la conformité"</t>
  </si>
  <si>
    <t>Module H2 " métiers opérationnels"</t>
  </si>
  <si>
    <t>Module Mobilité H2 + connaissances en tyauterie si non inclut dans la formation</t>
  </si>
  <si>
    <t>Module Mobilité H2 + conversion de puissance si non inclut dans la formation</t>
  </si>
  <si>
    <t>Vernis H2</t>
  </si>
  <si>
    <t>Effectif ayant accès au nouveau contenu par an</t>
  </si>
  <si>
    <t>Installation, gestion et maintenance des automatismes</t>
  </si>
  <si>
    <t xml:space="preserve">Contacts : </t>
  </si>
  <si>
    <t>A propos de Sia Partners</t>
  </si>
  <si>
    <t xml:space="preserve">Erwann Rio </t>
  </si>
  <si>
    <t>Charlotte de Lorgeril</t>
  </si>
  <si>
    <t>Sia Partners est le leader français indépendant des cabinets de conseil en management et le pionnier du Consulting 4.0. Fort d’une équipe de consultants de haut niveau, nous accompagnons nos clients dans la conduite de leurs projets de transformation. Avec un portefeuille d’expertises de premier plan, nous apportons un regard innovant et des résultats concrets. Fidèle à son approche innovante, Sia Partners explore les possibilités offertes par l’Intelligence Artificielle, investit dans la data science et développe des consulting bots. Sia Partners est une partnership mondiale détenue à 100% par ses dirigeants.</t>
  </si>
  <si>
    <t>Directeur projet hydrogène Pays de la Loire</t>
  </si>
  <si>
    <t>Associate Partner Energy  Utilities &amp; Environment</t>
  </si>
  <si>
    <t>Mail : Erwann.Rio@paysdelaloire.fr</t>
  </si>
  <si>
    <t>Mail : charlotte.delorgeril@sia-partners.com</t>
  </si>
  <si>
    <t xml:space="preserve">Nicolas Delorme </t>
  </si>
  <si>
    <t>Louis-Maël Jouanno</t>
  </si>
  <si>
    <t>Professeur, Le Mans Université</t>
  </si>
  <si>
    <t>Chargé de mission, Le Mans Innovation</t>
  </si>
  <si>
    <t>Mail : nicolas.delorme@univ-lemans.fr</t>
  </si>
  <si>
    <t xml:space="preserve">Mail: lm.jouanno@lemans.fr
</t>
  </si>
  <si>
    <t>Objectifs du document :</t>
  </si>
  <si>
    <t>Code couleur du document :</t>
  </si>
  <si>
    <t xml:space="preserve">Sommaire du document </t>
  </si>
  <si>
    <t xml:space="preserve">Hypothèses pouvant être modifiées </t>
  </si>
  <si>
    <t xml:space="preserve">Détails des modules de formation </t>
  </si>
  <si>
    <t xml:space="preserve">Part de postes </t>
  </si>
  <si>
    <t>Postes de niveau 5 et 6 dans les activites concernées</t>
  </si>
  <si>
    <t>Postes de niveau 3 et 4 dans les activités  concernées</t>
  </si>
  <si>
    <t>Parmi les ..</t>
  </si>
  <si>
    <t>Technicien QSE</t>
  </si>
  <si>
    <t>InserJeune : plateforme de la DARES</t>
  </si>
  <si>
    <t>Les métiers transverses sont  des métiers nécessaires partiellement  tout au long de la chaine de valeur et donc non comptés dans l'approche par activité du modèle. Ils sont donc rajouté en % des autres postes modélisés. Par exemple, pour 20 ingénieurs (~une usine, une équipe de conception d'infrastructure,..) un ingénieur spécialiste des risques et de la sécurité est nécessaire. Ces postes transverses s'ajoutent aux résultats de la modélisation de la tâche 1.</t>
  </si>
  <si>
    <t>Effectif moyen</t>
  </si>
  <si>
    <t>En conception, l'activité est séparée en deux blocs de compétences : test et essai, et automatismes</t>
  </si>
  <si>
    <r>
      <rPr>
        <b/>
        <sz val="11"/>
        <color theme="1"/>
        <rFont val="Arial"/>
        <family val="2"/>
        <scheme val="minor"/>
      </rPr>
      <t>Bloc de compétences : electricité, usinage et montage
Domaine d'usage: mobilité marine</t>
    </r>
    <r>
      <rPr>
        <sz val="11"/>
        <color theme="1"/>
        <rFont val="Arial"/>
        <family val="2"/>
        <scheme val="minor"/>
      </rPr>
      <t xml:space="preserve">
</t>
    </r>
    <r>
      <rPr>
        <i/>
        <sz val="11"/>
        <color theme="1"/>
        <rFont val="Arial"/>
        <family val="2"/>
        <scheme val="minor"/>
      </rPr>
      <t>(Bac Pro électromécanicien marine; CAP Aéronautique option structure; Bac pro. Aéronautique option structure)</t>
    </r>
  </si>
  <si>
    <t xml:space="preserve">Peu de formations en montage/assemblage </t>
  </si>
  <si>
    <r>
      <rPr>
        <b/>
        <sz val="11"/>
        <color theme="1"/>
        <rFont val="Arial"/>
        <family val="2"/>
        <scheme val="minor"/>
      </rPr>
      <t xml:space="preserve">Blocs de compétences : électricité, usinage/montage </t>
    </r>
    <r>
      <rPr>
        <sz val="11"/>
        <color theme="1"/>
        <rFont val="Arial"/>
        <family val="2"/>
        <scheme val="minor"/>
      </rPr>
      <t xml:space="preserve">
(Bac Pro métiers de l’électricité et de ses environnement concernés; CAP Aéronautique option structure; Bac pro. Aéronautique option structure)</t>
    </r>
  </si>
  <si>
    <r>
      <t xml:space="preserve">Bloc de compétences :soudage
</t>
    </r>
    <r>
      <rPr>
        <i/>
        <sz val="11"/>
        <color theme="1"/>
        <rFont val="Arial"/>
        <family val="2"/>
        <scheme val="minor"/>
      </rPr>
      <t>(CAP Réalisations industrielles en chaudronnerie ou soudage - option B soudage)</t>
    </r>
  </si>
  <si>
    <r>
      <rPr>
        <b/>
        <sz val="11"/>
        <color theme="1"/>
        <rFont val="Arial"/>
        <family val="2"/>
        <scheme val="minor"/>
      </rPr>
      <t xml:space="preserve">Bloc de compétences: chaudronnerie </t>
    </r>
    <r>
      <rPr>
        <sz val="11"/>
        <color theme="1"/>
        <rFont val="Arial"/>
        <family val="2"/>
        <scheme val="minor"/>
      </rPr>
      <t xml:space="preserve">
</t>
    </r>
    <r>
      <rPr>
        <i/>
        <sz val="11"/>
        <color theme="1"/>
        <rFont val="Arial"/>
        <family val="2"/>
        <scheme val="minor"/>
      </rPr>
      <t>( Bac pro technicien en chaudronerie industrielle - Option A)</t>
    </r>
  </si>
  <si>
    <t>Module mobilité H2</t>
  </si>
  <si>
    <t xml:space="preserve">Mécanique </t>
  </si>
  <si>
    <t>Mécanique</t>
  </si>
  <si>
    <t xml:space="preserve">Module Mobilité H2 + conversion de puissance </t>
  </si>
  <si>
    <t>Module Mobilité H2</t>
  </si>
  <si>
    <t xml:space="preserve">Module H2 " métiers opérationnels" </t>
  </si>
  <si>
    <t xml:space="preserve">Module H2 "Conception et essais" </t>
  </si>
  <si>
    <t>Module H2 "Conception et essais" axé usage mobilité + connaissances en hydropneumatique H3</t>
  </si>
  <si>
    <t>Module H2 "Conception et essais" axé usage mobilité + connaissances en hydropneumatique H4</t>
  </si>
  <si>
    <t>Module H2 "Conception et essais" axé usage mobilité + connaissances en hydropneumatique H5</t>
  </si>
  <si>
    <t>Module H2 "Conception et essais" axé usage mobilité + connaissances en hydropneumatique H6</t>
  </si>
  <si>
    <t>Module H2 "Conception et essais" axé usage mobilité + connaissances en hydropneumatique H7</t>
  </si>
  <si>
    <t>Bac professionnel maintenance des véhicules option B</t>
  </si>
  <si>
    <t xml:space="preserve"> CAP maintenance des véhicules option B</t>
  </si>
  <si>
    <t xml:space="preserve">CAP Aéronautique option structure </t>
  </si>
  <si>
    <t>Bac pro. Aéronautique option structure</t>
  </si>
  <si>
    <t xml:space="preserve">Mécanique, montage assemblage </t>
  </si>
  <si>
    <t>Bac pro et CAP</t>
  </si>
  <si>
    <t xml:space="preserve">Manque compétences usinage et montage
</t>
  </si>
  <si>
    <t>Mécanique, montage assemblage</t>
  </si>
  <si>
    <t xml:space="preserve">Electricité, usinage et montage </t>
  </si>
  <si>
    <t>Bac professionnel  maintenance des véhicules option A</t>
  </si>
  <si>
    <t>CAP Aéronautique option structure</t>
  </si>
  <si>
    <t>CAP maintenance des véhicules option A</t>
  </si>
  <si>
    <t>Ouvrir des places en priorité en Sarthe</t>
  </si>
  <si>
    <t>Ouvrir des places en priorité en Vendée</t>
  </si>
  <si>
    <t xml:space="preserve">Ouvir des places en priorité en Vendée et Loire Atlantique </t>
  </si>
  <si>
    <t>Ouvir des places en priorité en Sarthe et en Vendée</t>
  </si>
  <si>
    <t>Formations actuellement groupées en Maine et Loire et Loire Atlantique. Augmenter les effectifs en Vendée et Sarthe</t>
  </si>
  <si>
    <t>Ouvrir des places en priorité en Loire Atlantique</t>
  </si>
  <si>
    <t>Génie thermique, soudage, gestion des fluides, métrologie, électrotechnique</t>
  </si>
  <si>
    <t>Electrotechnique (schéma électriques et dimmensionnement), contrôle et essais, génie mécanique</t>
  </si>
  <si>
    <t xml:space="preserve">Ouvrir des places en priorité en Loire Atlantique </t>
  </si>
  <si>
    <t xml:space="preserve">Formations uniquement en Sarthe et Loire Atlantique. Développer ces formations en Vendée en priorité </t>
  </si>
  <si>
    <t xml:space="preserve">Formation bien disséminée  sur le territoire </t>
  </si>
  <si>
    <t>Les autres formations existantes en maintenance industrielle n'ont pas de compétence en thermique et Gaz. Une autre solution pourrait être d'incorporer des compétences thermiques et gaz dans d'autres formation de maintenance industrielle.</t>
  </si>
  <si>
    <r>
      <rPr>
        <b/>
        <sz val="11"/>
        <color theme="1"/>
        <rFont val="Arial"/>
        <family val="2"/>
        <scheme val="minor"/>
      </rPr>
      <t>Bloc de compétences: génie des procédés</t>
    </r>
    <r>
      <rPr>
        <sz val="11"/>
        <color theme="1"/>
        <rFont val="Arial"/>
        <family val="2"/>
        <scheme val="minor"/>
      </rPr>
      <t xml:space="preserve">
</t>
    </r>
    <r>
      <rPr>
        <i/>
        <sz val="11"/>
        <color theme="1"/>
        <rFont val="Arial"/>
        <family val="2"/>
        <scheme val="minor"/>
      </rPr>
      <t>(BTS - Production - Métiers de la chimie; BTS - Production - Pilotage des procédés; BUT - Chimie; BUT - Génie chimique génie des procédés; LP Maîtrise de l’énergie, électricité, développement durable, Parcours Génie thermique)</t>
    </r>
  </si>
  <si>
    <r>
      <rPr>
        <b/>
        <sz val="11"/>
        <color rgb="FF202124"/>
        <rFont val="Arial"/>
        <family val="2"/>
        <scheme val="minor"/>
      </rPr>
      <t>Bloc de compétences: génie thermique, soudage, gestion des fluides, métrologie, électrotechnique</t>
    </r>
    <r>
      <rPr>
        <sz val="11"/>
        <color rgb="FF202124"/>
        <rFont val="Arial"/>
        <family val="2"/>
        <scheme val="minor"/>
      </rPr>
      <t xml:space="preserve">
</t>
    </r>
    <r>
      <rPr>
        <i/>
        <sz val="11"/>
        <color rgb="FF202124"/>
        <rFont val="Arial"/>
        <family val="2"/>
        <scheme val="minor"/>
      </rPr>
      <t>(BTS - Production - Aéronautique; Mention Complémentaire technicien(ne) en chaudronnerie aéronautique et spatiale)</t>
    </r>
  </si>
  <si>
    <t>InserJeunes</t>
  </si>
  <si>
    <t>Automatisme, électricité, maintenance industrielle, gaz, mécanique</t>
  </si>
  <si>
    <t>Les données proviennent d'une analyse des entretiens menées avec les acteurs de la filière. Elles sont modifiables.</t>
  </si>
  <si>
    <t xml:space="preserve">Bloc de compétences : sécurité, qualité </t>
  </si>
  <si>
    <t xml:space="preserve">CQP Technicien de la qualité </t>
  </si>
  <si>
    <t xml:space="preserve">Formation professionnelle - Animateur qualité sécurité environnement </t>
  </si>
  <si>
    <t>CQP inspecteur qualité</t>
  </si>
  <si>
    <t>Animateur QSE en apprentissage</t>
  </si>
  <si>
    <t>Bachelor Responsable QSE en apprentissage</t>
  </si>
  <si>
    <t xml:space="preserve">Type de poste </t>
  </si>
  <si>
    <t xml:space="preserve">Production d'équiepements, exploitation et maintenance d'infrstructure, conception </t>
  </si>
  <si>
    <t>Totalité des formations en Loire Atlantique et Sarthe. Ouvrir des places en priorité en Vendée</t>
  </si>
  <si>
    <t>Pour les formations au niveau de qualification 7, la priorisation géographique est à relativiser, étant donné la mobilité forte à ce niveau.</t>
  </si>
  <si>
    <t>Ouvrir des places en priorité en Loire Atlantique, Sarthe et Vendée</t>
  </si>
  <si>
    <t xml:space="preserve">Ouvrir des places en priorité en  Sarthe </t>
  </si>
  <si>
    <t>Ouvrir des places en priorité en Vendée et Loire Atlantique</t>
  </si>
  <si>
    <t xml:space="preserve">Mécanique des fluides (gaz), électricité, mécanique, automatismes, génie climatique </t>
  </si>
  <si>
    <t>Bac professionnel  maintenance des véhicules option B</t>
  </si>
  <si>
    <t>CAP maintenance des véhicules option B</t>
  </si>
  <si>
    <t>Adapter les programmes en priorité en Sarthe et en Loire Atlantique, et disséminer ensuite dans tout le territoire</t>
  </si>
  <si>
    <t xml:space="preserve">Bac Pro Maintenance des véhicules option A </t>
  </si>
  <si>
    <t xml:space="preserve">CAP Maintenance des véhicules option A </t>
  </si>
  <si>
    <t xml:space="preserve"> Bac Pro Maintenance des matériels option B </t>
  </si>
  <si>
    <t xml:space="preserve">CAP Maintenance des matériels option B </t>
  </si>
  <si>
    <t xml:space="preserve"> Mécanique </t>
  </si>
  <si>
    <t>Mécanique, électricité</t>
  </si>
  <si>
    <t>Maintenance d'équipements - navire maritime ou légers et PAC</t>
  </si>
  <si>
    <t>Bac pro métiers de l'électricité et de ses environnements connectés</t>
  </si>
  <si>
    <t>Electricité, mécanique, informatique, réalisation d'opérations de maintenance</t>
  </si>
  <si>
    <r>
      <rPr>
        <b/>
        <sz val="11"/>
        <color theme="1"/>
        <rFont val="Arial"/>
        <family val="2"/>
        <scheme val="minor"/>
      </rPr>
      <t>Bloc de compétences : electricité, mécanique, informatique, réalisation d'opérations de maintenance</t>
    </r>
    <r>
      <rPr>
        <sz val="11"/>
        <color theme="1"/>
        <rFont val="Arial"/>
        <family val="2"/>
        <scheme val="minor"/>
      </rPr>
      <t xml:space="preserve">
</t>
    </r>
    <r>
      <rPr>
        <i/>
        <sz val="11"/>
        <color theme="1"/>
        <rFont val="Arial"/>
        <family val="2"/>
        <scheme val="minor"/>
      </rPr>
      <t>(Bac Pro maintenance des systèmes de production connectés)</t>
    </r>
  </si>
  <si>
    <t>Adapter les programmes en priorité en Loire Atlantique puis sur tout le territoire</t>
  </si>
  <si>
    <t>Adapter les programmes en priorité en Loire Atlantique</t>
  </si>
  <si>
    <t>Adatper en priorité les programmes en Maine et Loire et Loire Atlantique</t>
  </si>
  <si>
    <t>Adapter en priorité les programmes en Sarthe, Loire Atlantique, Vendée</t>
  </si>
  <si>
    <t>Adatper en priorité les programmes en Loire Atlantique et en Vendée</t>
  </si>
  <si>
    <t>Adapter en priorité les programmes en Sarthe</t>
  </si>
  <si>
    <t xml:space="preserve">Génie des procédés, mécanique des fluides, génie électrique, Métrologie, Thermique </t>
  </si>
  <si>
    <t>Nouveau pogramme à disséminer sur tout le territoire</t>
  </si>
  <si>
    <t>Niveaux 5 et 6</t>
  </si>
  <si>
    <t>Module H2 "Conception et essais" + vision mécanique des fluides (gaz)</t>
  </si>
  <si>
    <t>Adapter les pogrammes  en priorité en Loire Atlantique, Sarthe et Vendée</t>
  </si>
  <si>
    <t>Adapter les programmes en priorité en Loire Atlantique, Sarthe et Vendée</t>
  </si>
  <si>
    <t>Adapter en priorité les programmes en Vendée et Loire Atlantique</t>
  </si>
  <si>
    <t>Adapter en priorité les programmes en Loire Atlantique</t>
  </si>
  <si>
    <t>Nombre de postes concernés (besoins 2040 - besoins 2030)</t>
  </si>
  <si>
    <r>
      <rPr>
        <b/>
        <sz val="11"/>
        <color theme="1"/>
        <rFont val="Arial"/>
        <family val="2"/>
        <scheme val="minor"/>
      </rPr>
      <t>Présentation des systèmes H2:</t>
    </r>
    <r>
      <rPr>
        <sz val="11"/>
        <color theme="1"/>
        <rFont val="Arial"/>
        <family val="2"/>
        <scheme val="minor"/>
      </rPr>
      <t xml:space="preserve">
-Chaine de valeur H2 
-Principales technologies associées</t>
    </r>
    <r>
      <rPr>
        <b/>
        <sz val="11"/>
        <color theme="1"/>
        <rFont val="Arial"/>
        <family val="2"/>
        <scheme val="minor"/>
      </rPr>
      <t xml:space="preserve">
Connaissances de base en sécurité, risques et réglementation
Implications en ce qui concerne le domaine d'expertise de la formation</t>
    </r>
  </si>
  <si>
    <r>
      <rPr>
        <b/>
        <sz val="11"/>
        <color theme="1"/>
        <rFont val="Arial"/>
        <family val="2"/>
        <scheme val="minor"/>
      </rPr>
      <t>Système H2 :</t>
    </r>
    <r>
      <rPr>
        <sz val="11"/>
        <color theme="1"/>
        <rFont val="Arial"/>
        <family val="2"/>
        <scheme val="minor"/>
      </rPr>
      <t xml:space="preserve">
-Connaissances Chaine de Valeur H2, systèmes et sous-systèmes
impliqués 
-Connaissances fonctionnement technique des systèmes
-Matériels &amp; techniques O&amp;M ouvrages/ systèmes H2
</t>
    </r>
    <r>
      <rPr>
        <b/>
        <sz val="11"/>
        <color theme="1"/>
        <rFont val="Arial"/>
        <family val="2"/>
        <scheme val="minor"/>
      </rPr>
      <t>Sécurité/Risques:</t>
    </r>
    <r>
      <rPr>
        <sz val="11"/>
        <color theme="1"/>
        <rFont val="Arial"/>
        <family val="2"/>
        <scheme val="minor"/>
      </rPr>
      <t xml:space="preserve">
-ATEX, au-delà de la sensibilisation
-Procédures
-Maintien de la chaine de sécurité
</t>
    </r>
    <r>
      <rPr>
        <b/>
        <sz val="11"/>
        <color theme="1"/>
        <rFont val="Arial"/>
        <family val="2"/>
        <scheme val="minor"/>
      </rPr>
      <t>Hautes-Pressions:</t>
    </r>
    <r>
      <rPr>
        <sz val="11"/>
        <color theme="1"/>
        <rFont val="Arial"/>
        <family val="2"/>
        <scheme val="minor"/>
      </rPr>
      <t xml:space="preserve">
-Procédures de mise en sécurité
-Changements procédures
-Dangerosité
-Spécificités
</t>
    </r>
  </si>
  <si>
    <t>Génie civil</t>
  </si>
  <si>
    <t>Master Génie civil, Parcours Travaux Publics et Maintenance ; Parcours Conception et Réalisation des Bâtiments</t>
  </si>
  <si>
    <r>
      <rPr>
        <b/>
        <sz val="11"/>
        <color theme="1"/>
        <rFont val="Arial"/>
        <family val="2"/>
        <scheme val="minor"/>
      </rPr>
      <t>Bloc de compétences : génie civil</t>
    </r>
    <r>
      <rPr>
        <sz val="11"/>
        <color theme="1"/>
        <rFont val="Arial"/>
        <family val="2"/>
        <scheme val="minor"/>
      </rPr>
      <t xml:space="preserve">
</t>
    </r>
    <r>
      <rPr>
        <i/>
        <sz val="11"/>
        <color theme="1"/>
        <rFont val="Arial"/>
        <family val="2"/>
        <scheme val="minor"/>
      </rPr>
      <t>(Master Génie civil, Parcours Travaux Publics et Maintenance ; Parcours Conception et Réalisation des Bâtiments)</t>
    </r>
  </si>
  <si>
    <t>Ces compétences existent dans d'autres formations : si l'écart est trop grand, d'autres formations pourraient aussi convenir</t>
  </si>
  <si>
    <t>Module H2 " Métiers opérationnels"</t>
  </si>
  <si>
    <t>Module H2 "Evaluation des risques et de la conformité"</t>
  </si>
  <si>
    <t xml:space="preserve">Indications sur les évolutions à apporter dans le programme </t>
  </si>
  <si>
    <t>Evolution des besoins jusqu'à 2040</t>
  </si>
  <si>
    <t>Scénario modéré</t>
  </si>
  <si>
    <t>Scénario haut</t>
  </si>
  <si>
    <t>Mécanique, génie climatique, manipulation du métal, électricité</t>
  </si>
  <si>
    <r>
      <rPr>
        <b/>
        <sz val="11"/>
        <color theme="1"/>
        <rFont val="Arial"/>
        <family val="2"/>
        <scheme val="minor"/>
      </rPr>
      <t>Bloc de compétences: mécanique, génie climatique, manipulation du métal, électricité</t>
    </r>
    <r>
      <rPr>
        <sz val="11"/>
        <color theme="1"/>
        <rFont val="Arial"/>
        <family val="2"/>
        <scheme val="minor"/>
      </rPr>
      <t xml:space="preserve">
 Bac Pro pilote de ligne de production</t>
    </r>
  </si>
  <si>
    <t>Niveau 3 et 4</t>
  </si>
  <si>
    <t>Niveau 4 et 5</t>
  </si>
  <si>
    <t xml:space="preserve">Niveau 5 et 6 </t>
  </si>
  <si>
    <t xml:space="preserve">Niveau 3 et 4 </t>
  </si>
  <si>
    <t>Les ingénieurs génies civils sont nécesssaires pour la partie travaux</t>
  </si>
  <si>
    <t xml:space="preserve">Mise en service et maintenance de sites de production et de distribution </t>
  </si>
  <si>
    <t>Attention pas de compétences en mécanique des fluides</t>
  </si>
  <si>
    <t>Niveau 5 et 6</t>
  </si>
  <si>
    <t>Conception d'équipements et maintenance d'infrastructure de production par électrolyse et de site de distribution - automatismes</t>
  </si>
  <si>
    <t xml:space="preserve">Evolutions des formations en effectif et en contenu pour atteindre l'objectif 4.1: Couvrir 115% des besoins en profils de niveaux de qualification 5, 6 et 7 (techniciens et ingénieurs) dans des domaines différenciants pour la région Pays de la Loire </t>
  </si>
  <si>
    <t>Les données manquantes sont remplacées par des moyennes. Lorsque cela n'est pas possible, aucune donné n'est indiquée.</t>
  </si>
  <si>
    <t xml:space="preserve">Pourcentage de converture supplémentaire des besoins </t>
  </si>
  <si>
    <t>Valeur inconnue</t>
  </si>
  <si>
    <t xml:space="preserve">Formation ENSM </t>
  </si>
  <si>
    <t>Nombre d'années entre l'année de modification et  2030</t>
  </si>
  <si>
    <t>Postes de niveau 7 dans les activités concernées</t>
  </si>
  <si>
    <r>
      <rPr>
        <i/>
        <sz val="11"/>
        <color theme="1"/>
        <rFont val="Arial"/>
        <family val="2"/>
        <scheme val="minor"/>
      </rPr>
      <t>Module à intégrer en complément d'une formation axée sur la mobilité électrique</t>
    </r>
    <r>
      <rPr>
        <b/>
        <sz val="11"/>
        <color theme="1"/>
        <rFont val="Arial"/>
        <family val="2"/>
        <scheme val="minor"/>
      </rPr>
      <t xml:space="preserve">
Système H2 dans l'usage mobilité :</t>
    </r>
    <r>
      <rPr>
        <sz val="11"/>
        <color theme="1"/>
        <rFont val="Arial"/>
        <family val="2"/>
        <scheme val="minor"/>
      </rPr>
      <t xml:space="preserve">
-Connaissances Chaine de Valeur H2, systèmes et sous-systèmes
impliqués 
-Connaissances fonctionnement technique des systèmes : Réservoire/tuyaux /PAC 
-Matériels &amp; techniques spécifiques à l'usage mobilité
-Maintenance et opérations spécifiques à l'usage mobilité
</t>
    </r>
    <r>
      <rPr>
        <b/>
        <sz val="11"/>
        <color theme="1"/>
        <rFont val="Arial"/>
        <family val="2"/>
        <scheme val="minor"/>
      </rPr>
      <t>Sécurité/Risques:</t>
    </r>
    <r>
      <rPr>
        <sz val="11"/>
        <color theme="1"/>
        <rFont val="Arial"/>
        <family val="2"/>
        <scheme val="minor"/>
      </rPr>
      <t xml:space="preserve">
-ATEX, au-delà de la sensibilisation
-Procédures 
-Maintien de la chaine de sécurité
</t>
    </r>
  </si>
  <si>
    <r>
      <rPr>
        <b/>
        <sz val="11"/>
        <color theme="1"/>
        <rFont val="Arial"/>
        <family val="2"/>
        <scheme val="minor"/>
      </rPr>
      <t>Systèmes H2</t>
    </r>
    <r>
      <rPr>
        <sz val="11"/>
        <color theme="1"/>
        <rFont val="Arial"/>
        <family val="2"/>
        <scheme val="minor"/>
      </rPr>
      <t xml:space="preserve">
-Connaissances techniques détaillées : fonctionnement, flux, architecture
</t>
    </r>
    <r>
      <rPr>
        <b/>
        <sz val="11"/>
        <color theme="1"/>
        <rFont val="Arial"/>
        <family val="2"/>
        <scheme val="minor"/>
      </rPr>
      <t>Sécurité/Risques:</t>
    </r>
    <r>
      <rPr>
        <sz val="11"/>
        <color theme="1"/>
        <rFont val="Arial"/>
        <family val="2"/>
        <scheme val="minor"/>
      </rPr>
      <t xml:space="preserve">
-Phénoménologie et risques de défaillances
-ATEX
</t>
    </r>
    <r>
      <rPr>
        <b/>
        <sz val="11"/>
        <color theme="1"/>
        <rFont val="Arial"/>
        <family val="2"/>
        <scheme val="minor"/>
      </rPr>
      <t>Matériaux:</t>
    </r>
    <r>
      <rPr>
        <sz val="11"/>
        <color theme="1"/>
        <rFont val="Arial"/>
        <family val="2"/>
        <scheme val="minor"/>
      </rPr>
      <t xml:space="preserve">
-Phénoménologie 
-Compatibilité chimique
-Lien contraintes thermiques :hautes températures, cryogénie. Impacts microstructuraux, dilatation…
</t>
    </r>
    <r>
      <rPr>
        <b/>
        <sz val="11"/>
        <color theme="1"/>
        <rFont val="Arial"/>
        <family val="2"/>
        <scheme val="minor"/>
      </rPr>
      <t xml:space="preserve">Réglementation/Normes:  </t>
    </r>
    <r>
      <rPr>
        <sz val="11"/>
        <color theme="1"/>
        <rFont val="Arial"/>
        <family val="2"/>
        <scheme val="minor"/>
      </rPr>
      <t xml:space="preserve">         
-Maitrise réglementation et normes (ex. ICPE 1416, 3745)
-Prise en compte des précautions (modes opératoires, seuils, etc.)
-Connaissance vernis réglementaire lié aux applications dangereuses
-ATEX
</t>
    </r>
    <r>
      <rPr>
        <b/>
        <sz val="11"/>
        <color theme="1"/>
        <rFont val="Arial"/>
        <family val="2"/>
        <scheme val="minor"/>
      </rPr>
      <t>Hautes-Pressions</t>
    </r>
    <r>
      <rPr>
        <sz val="11"/>
        <color theme="1"/>
        <rFont val="Arial"/>
        <family val="2"/>
        <scheme val="minor"/>
      </rPr>
      <t xml:space="preserve">
- Phénoménologie (ex : déformations liées aux cyclages…)
-Spécificités, choix des matériaux…
</t>
    </r>
  </si>
  <si>
    <r>
      <rPr>
        <b/>
        <sz val="11"/>
        <color theme="1"/>
        <rFont val="Arial"/>
        <family val="2"/>
        <scheme val="minor"/>
      </rPr>
      <t>Sécurité/Risques</t>
    </r>
    <r>
      <rPr>
        <sz val="11"/>
        <color theme="1"/>
        <rFont val="Arial"/>
        <family val="2"/>
        <scheme val="minor"/>
      </rPr>
      <t xml:space="preserve">
-ATEX
-Spécificités H2 : domaines d’explosivité, concentrations minimales, surpressions
-Risques H2 : explosion, incendie, dispersion, nuage… &amp; procédures maitrise risques associées
-Connaissance contraintes Hygiène Sécurité &amp; Environnement des installations H2.
-Compréhension des phénomènes dangereux caractéristiques des risques industriels
</t>
    </r>
    <r>
      <rPr>
        <b/>
        <sz val="11"/>
        <color theme="1"/>
        <rFont val="Arial"/>
        <family val="2"/>
        <scheme val="minor"/>
      </rPr>
      <t>Réglementation/Normes</t>
    </r>
    <r>
      <rPr>
        <sz val="11"/>
        <color theme="1"/>
        <rFont val="Arial"/>
        <family val="2"/>
        <scheme val="minor"/>
      </rPr>
      <t xml:space="preserve">
- Contexte réglementaire et normatif (Systèmes H2,Conditionnement (stockage, Transport, Usages, Normes H2 déterminant les performances des produits, ATEX : directives &amp; normes 
</t>
    </r>
    <r>
      <rPr>
        <b/>
        <sz val="11"/>
        <color theme="1"/>
        <rFont val="Arial"/>
        <family val="2"/>
        <scheme val="minor"/>
      </rPr>
      <t xml:space="preserve">Hautes-Pressions </t>
    </r>
    <r>
      <rPr>
        <sz val="11"/>
        <color theme="1"/>
        <rFont val="Arial"/>
        <family val="2"/>
        <scheme val="minor"/>
      </rPr>
      <t xml:space="preserve">
-Conséquences de la haute pression sur le choix des matériaux, manipulations, effets mécaniques, etc.</t>
    </r>
  </si>
  <si>
    <r>
      <t xml:space="preserve">Source: </t>
    </r>
    <r>
      <rPr>
        <i/>
        <sz val="14"/>
        <color theme="1"/>
        <rFont val="Arial"/>
        <family val="2"/>
        <scheme val="minor"/>
      </rPr>
      <t>Adaptation des compétences métiers aux spécificités de l’hydrogène</t>
    </r>
    <r>
      <rPr>
        <sz val="14"/>
        <color theme="1"/>
        <rFont val="Arial"/>
        <family val="2"/>
        <scheme val="minor"/>
      </rPr>
      <t>, France Hydrogène, juin 2022</t>
    </r>
  </si>
  <si>
    <t>Bloc de compétences et exemples de formations pertinentes</t>
  </si>
  <si>
    <r>
      <rPr>
        <b/>
        <sz val="11"/>
        <color theme="1"/>
        <rFont val="Arial"/>
        <family val="2"/>
        <scheme val="minor"/>
      </rPr>
      <t xml:space="preserve">Bloc de compétencse:  génie climatique, mécanique, montage-assemblage
Domaine d'usage: mobilité routière lourde </t>
    </r>
    <r>
      <rPr>
        <sz val="11"/>
        <color theme="1"/>
        <rFont val="Arial"/>
        <family val="2"/>
        <scheme val="minor"/>
      </rPr>
      <t xml:space="preserve">
</t>
    </r>
    <r>
      <rPr>
        <i/>
        <sz val="11"/>
        <color theme="1"/>
        <rFont val="Arial"/>
        <family val="2"/>
        <scheme val="minor"/>
      </rPr>
      <t>(BTS - Production - Fluide, énergie, domotique - option A génie climatique et fluidique ; BTS - Production - Maintenance des systèmes - option B Systèmes énergétiques et fluidiques; BTS - Production - Motorisations toutes énergies; BTS - Production - Maintenance des véhicules option véhicules de transport routier; CQP  Mécanicien de Maintenance véhicules utilitaires et industriels; Titre professionnel mécanicien réparateur de véhicules industriels)</t>
    </r>
  </si>
  <si>
    <r>
      <rPr>
        <b/>
        <sz val="11"/>
        <color theme="1"/>
        <rFont val="Arial"/>
        <family val="2"/>
        <scheme val="minor"/>
      </rPr>
      <t>Bloc de compétences : génie climatique, mécanique, montage assemblage
Domaine d'usage: mobilité routière légère</t>
    </r>
    <r>
      <rPr>
        <sz val="11"/>
        <color theme="1"/>
        <rFont val="Arial"/>
        <family val="2"/>
        <scheme val="minor"/>
      </rPr>
      <t xml:space="preserve">
</t>
    </r>
    <r>
      <rPr>
        <i/>
        <sz val="11"/>
        <color theme="1"/>
        <rFont val="Arial"/>
        <family val="2"/>
        <scheme val="minor"/>
      </rPr>
      <t>(BTS - Production - Fluide, énergie, domotique - option A génie climatique et fluidique; BTS - Production - Maintenance des systèmes - option B Systèmes énergétiques et fluidiques; CQP Mécanicien de maintenance automobile; Titre professionnel mécanicien(ne) automobile; FCIL Métiers Connexes Automobile; BTS - Production - Maintenance des véhicules option voitures particulières; BTS - Production - Motorisations toutes énergies</t>
    </r>
  </si>
  <si>
    <r>
      <rPr>
        <b/>
        <sz val="11"/>
        <color theme="1"/>
        <rFont val="Arial"/>
        <family val="2"/>
        <scheme val="minor"/>
      </rPr>
      <t xml:space="preserve">Bloc de de compétences : mécanique, montage assemblage 
Domaine d'usage : mobilité routière lourde </t>
    </r>
    <r>
      <rPr>
        <sz val="11"/>
        <color theme="1"/>
        <rFont val="Arial"/>
        <family val="2"/>
        <scheme val="minor"/>
      </rPr>
      <t xml:space="preserve">
</t>
    </r>
    <r>
      <rPr>
        <i/>
        <sz val="11"/>
        <color theme="1"/>
        <rFont val="Arial"/>
        <family val="2"/>
        <scheme val="minor"/>
      </rPr>
      <t>(Bac Pro maintenance des véhicules, CAP maintenance des véhicules option B; CAP Aéronautique option structure; Bac pro. Aéronautique option structure)</t>
    </r>
  </si>
  <si>
    <r>
      <rPr>
        <b/>
        <sz val="11"/>
        <color theme="1"/>
        <rFont val="Arial"/>
        <family val="2"/>
        <scheme val="minor"/>
      </rPr>
      <t xml:space="preserve">Bloc de compétences : mécanique, montage assemblage
Domaine d'usage : mobilité routière légère 
</t>
    </r>
    <r>
      <rPr>
        <i/>
        <sz val="11"/>
        <color theme="1"/>
        <rFont val="Arial"/>
        <family val="2"/>
        <scheme val="minor"/>
      </rPr>
      <t>(Bac Pro maintenance des véhicules option A et CAP maintenance des véhicules option A; CAP Aéronautique option structure; Bac pro. Aéronautique option structure)</t>
    </r>
  </si>
  <si>
    <r>
      <rPr>
        <b/>
        <sz val="11"/>
        <color rgb="FF202124"/>
        <rFont val="Arial"/>
        <family val="2"/>
        <scheme val="minor"/>
      </rPr>
      <t xml:space="preserve">Bloc de compétences : automatisme, contrôle commande, conversion de puissance </t>
    </r>
    <r>
      <rPr>
        <sz val="11"/>
        <color rgb="FF202124"/>
        <rFont val="Arial"/>
        <family val="2"/>
        <scheme val="minor"/>
      </rPr>
      <t xml:space="preserve">
</t>
    </r>
    <r>
      <rPr>
        <i/>
        <sz val="11"/>
        <color rgb="FF202124"/>
        <rFont val="Arial"/>
        <family val="2"/>
        <scheme val="minor"/>
      </rPr>
      <t>(BTS - Maritime - Mécatronique Navale; BTS - Production - Conception et industrialisation en construction navale; LP Métiers de l'industrie : industrie navale et maritime, Parcours Ingénierie Navale et Nautique)</t>
    </r>
  </si>
  <si>
    <r>
      <rPr>
        <b/>
        <sz val="11"/>
        <color theme="1"/>
        <rFont val="Arial"/>
        <family val="2"/>
        <scheme val="minor"/>
      </rPr>
      <t>Bloc de compétences : métrologie, test et essais</t>
    </r>
    <r>
      <rPr>
        <sz val="11"/>
        <color theme="1"/>
        <rFont val="Arial"/>
        <family val="2"/>
        <scheme val="minor"/>
      </rPr>
      <t xml:space="preserve">
</t>
    </r>
    <r>
      <rPr>
        <i/>
        <sz val="11"/>
        <color theme="1"/>
        <rFont val="Arial"/>
        <family val="2"/>
        <scheme val="minor"/>
      </rPr>
      <t>(BTS - Production - Métiers de la mesure; BUT - Mesures physiques; BUT - Génie mécanique et productique)</t>
    </r>
  </si>
  <si>
    <r>
      <rPr>
        <b/>
        <sz val="11"/>
        <color theme="1"/>
        <rFont val="Arial"/>
        <family val="2"/>
        <scheme val="minor"/>
      </rPr>
      <t>Bloc de compétences: électricité, mécanique des fluides (gaz) , génie thermique</t>
    </r>
    <r>
      <rPr>
        <sz val="11"/>
        <color theme="1"/>
        <rFont val="Arial"/>
        <family val="2"/>
        <scheme val="minor"/>
      </rPr>
      <t xml:space="preserve">
</t>
    </r>
    <r>
      <rPr>
        <i/>
        <sz val="11"/>
        <color theme="1"/>
        <rFont val="Arial"/>
        <family val="2"/>
        <scheme val="minor"/>
      </rPr>
      <t>(BTS - Production - Maintenance des systèmes - option B Systèmes énergétiques et fluidiques)</t>
    </r>
  </si>
  <si>
    <r>
      <rPr>
        <b/>
        <sz val="11"/>
        <color theme="1"/>
        <rFont val="Arial"/>
        <family val="2"/>
        <scheme val="minor"/>
      </rPr>
      <t>Bloc de compétences: génie climatique , génie électrique, soudure/plomberie, génie automatique</t>
    </r>
    <r>
      <rPr>
        <sz val="11"/>
        <color theme="1"/>
        <rFont val="Arial"/>
        <family val="2"/>
        <scheme val="minor"/>
      </rPr>
      <t xml:space="preserve">
</t>
    </r>
    <r>
      <rPr>
        <i/>
        <sz val="11"/>
        <color theme="1"/>
        <rFont val="Arial"/>
        <family val="2"/>
        <scheme val="minor"/>
      </rPr>
      <t>(BTS - Production - Fluide, énergie, domotique - option A génie climatique et fluidique; BTS - Production - Maintenance des systèmes - option B Systèmes énergétiques et fluidiques;BUT - Métiers de la Transition et de l'Efficacité Énergétiques; Titre professionnel tuyauteur industriel)</t>
    </r>
  </si>
  <si>
    <r>
      <rPr>
        <b/>
        <sz val="11"/>
        <color theme="1"/>
        <rFont val="Arial"/>
        <family val="2"/>
        <scheme val="minor"/>
      </rPr>
      <t>Bloc de compétences : métrologie et mécanique</t>
    </r>
    <r>
      <rPr>
        <sz val="11"/>
        <color theme="1"/>
        <rFont val="Arial"/>
        <family val="2"/>
        <scheme val="minor"/>
      </rPr>
      <t xml:space="preserve">
</t>
    </r>
    <r>
      <rPr>
        <i/>
        <sz val="11"/>
        <color theme="1"/>
        <rFont val="Arial"/>
        <family val="2"/>
        <scheme val="minor"/>
      </rPr>
      <t>(BTS - Production - Métiers de la mesure; BUT - Mesures physiques; LP Maintenance et technologie : contrôle industriel - Parcours Essai et Contrôle Non Destructif)</t>
    </r>
  </si>
  <si>
    <r>
      <t xml:space="preserve">Bloc de compétences : soudure
</t>
    </r>
    <r>
      <rPr>
        <i/>
        <sz val="11"/>
        <color theme="1"/>
        <rFont val="Arial"/>
        <family val="2"/>
        <scheme val="minor"/>
      </rPr>
      <t>(CQP soudeur industriel ; Mention Complémentaire technicien en soudage; Titre professionnel agent de fabrication et montage en chaudronnerie; BTS - Production - Conception et réalisation en chaudronnerie industrielle)</t>
    </r>
  </si>
  <si>
    <t>Majorité de formations en Loire Atlantique. Ouvrir des places en priorité en Vendée (actuellement 1 formation) et en Sarthe (actuellement 0 formation)</t>
  </si>
  <si>
    <t>En conception, l'activité est séparée en deux blocs de compétences : test et essai, et automatisme</t>
  </si>
  <si>
    <t>Pour les formations au niveau de qualification 7, la priorisation géographique est à relativiser, étant donné la mobilité forte à ce niveau.
Une expertise en automatisme est nécessaire à la conception de certains équipements H2 ainsi qu'a la maintenance des infrastructures</t>
  </si>
  <si>
    <r>
      <t>Bloc de compétences: conception,  génie logiciel, contrôle commande, électricité, mécanique</t>
    </r>
    <r>
      <rPr>
        <i/>
        <sz val="11"/>
        <color theme="1"/>
        <rFont val="Arial"/>
        <family val="2"/>
        <scheme val="minor"/>
      </rPr>
      <t xml:space="preserve">
(Formations d'ingénieur généraliste; Master Ingénierie des systèmes complexes, Parcours Interdisciplinaire en Technologies Innovantes; Ingénieur diplômé de l’ESTACA, filière Automobile/filière Navale; Master Sciences de la matière, Parcours Energies Nouvelles et Renouvelables; Ingénieur diplômé de l’ISMANS, cursus ingénieur mécanique; Master - Energétique et Propulsion</t>
    </r>
  </si>
  <si>
    <r>
      <t xml:space="preserve">Bloc de compétences : mécanique, génie électrique, conception
</t>
    </r>
    <r>
      <rPr>
        <i/>
        <sz val="11"/>
        <color theme="1"/>
        <rFont val="Arial"/>
        <family val="2"/>
        <scheme val="minor"/>
      </rPr>
      <t>(Ingénieur diplômé de l’ISMANS, cursus ingénieur mécanique; Cursus Master en Ingénierie - Ingénierie en Calcul Mécanique)</t>
    </r>
  </si>
  <si>
    <r>
      <rPr>
        <b/>
        <sz val="11"/>
        <color theme="1"/>
        <rFont val="Arial"/>
        <family val="2"/>
        <scheme val="minor"/>
      </rPr>
      <t xml:space="preserve">Bloc de compétences : mécanique des fluides (gaz), automatisme, génie climatique/thermique, génie des matériaux </t>
    </r>
    <r>
      <rPr>
        <sz val="11"/>
        <color theme="1"/>
        <rFont val="Arial"/>
        <family val="2"/>
        <scheme val="minor"/>
      </rPr>
      <t xml:space="preserve">
</t>
    </r>
    <r>
      <rPr>
        <i/>
        <sz val="11"/>
        <color theme="1"/>
        <rFont val="Arial"/>
        <family val="2"/>
        <scheme val="minor"/>
      </rPr>
      <t>(Graduate Programme Matériaux innovants et systèmes énergétiques - niveau Master ; Ingénieur diplômé de l’ISMANS, cursus ingénieur des matériaux; Formations d'ingénieur généraliste; Ingénierie des Procédés Innovants (IPI); Ingénieur diplômé de Polytech Nantes; Master Sciences de la matière, Parcours Energies Nouvelles et Renouvelables spécialité Ingénieur Thermique Énergétique et Mécanique)</t>
    </r>
  </si>
  <si>
    <r>
      <rPr>
        <b/>
        <sz val="11"/>
        <color theme="1"/>
        <rFont val="Arial"/>
        <family val="2"/>
        <scheme val="minor"/>
      </rPr>
      <t>Bloc de compétences: génie thermique,mécanique des fluides (gaz et liquide)</t>
    </r>
    <r>
      <rPr>
        <sz val="11"/>
        <color theme="1"/>
        <rFont val="Arial"/>
        <family val="2"/>
        <scheme val="minor"/>
      </rPr>
      <t xml:space="preserve">
(</t>
    </r>
    <r>
      <rPr>
        <i/>
        <sz val="11"/>
        <color theme="1"/>
        <rFont val="Arial"/>
        <family val="2"/>
        <scheme val="minor"/>
      </rPr>
      <t>Cursus Master en Ingénierie : Chimie Environnement; Ingénierie des Procédés Innovants (IPI); Formation ingénieurs généralistes; Ingénieur diplômé de l’ISMANS, cursus ingénieur des matériaux; Master Sciences de la matière, Parcours Energies Nouvelles et Renouvelables; Master Ingénierie des systèmes complexes, Parcours Interdisciplinaire en Technologies Innovantes; Ingénieur diplômé de l’ESTACA, filière Aéronautique</t>
    </r>
  </si>
  <si>
    <r>
      <t xml:space="preserve">Bloc de compétences : sécurité, qualité 
</t>
    </r>
    <r>
      <rPr>
        <i/>
        <sz val="11"/>
        <color theme="1"/>
        <rFont val="Arial"/>
        <family val="2"/>
        <scheme val="minor"/>
      </rPr>
      <t>( Ingénieur diplômé de Polytech Angers, spécialité Qualité, Innovation, Fiabilité; Ingénieur diplômé de l’ESAIP, spécialité Gestion des risques et environnement; Master Risques et environnement, Parcours Gestion des Risques - Santé Sécurité Environnement; Mastère Spécialisé Management Qualité Sécurité Environnement – Stratégie; Mastère Spécialisé Management de la Sécurité et des Risques Industriels)</t>
    </r>
  </si>
  <si>
    <r>
      <rPr>
        <b/>
        <sz val="11"/>
        <color theme="1"/>
        <rFont val="Arial"/>
        <family val="2"/>
        <scheme val="minor"/>
      </rPr>
      <t xml:space="preserve">Bloc de compétences : mécanique des fluides (gaz), électricité, mécanique, automatisme, génie climatique </t>
    </r>
    <r>
      <rPr>
        <sz val="11"/>
        <color theme="1"/>
        <rFont val="Arial"/>
        <family val="2"/>
        <scheme val="minor"/>
      </rPr>
      <t xml:space="preserve">
</t>
    </r>
    <r>
      <rPr>
        <i/>
        <sz val="11"/>
        <color theme="1"/>
        <rFont val="Arial"/>
        <family val="2"/>
        <scheme val="minor"/>
      </rPr>
      <t>(Ingénierie des Procédés Innovants (IPI); Formations d'ingénieur généraliste; Master Ingénierie des systèmes complexes, Parcours Interdisciplinaire en Technologies Innovantes; Master Sciences de la matière, Parcours Energies Nouvelles et Renouvelables)</t>
    </r>
  </si>
  <si>
    <r>
      <rPr>
        <b/>
        <sz val="11"/>
        <color theme="1"/>
        <rFont val="Arial"/>
        <family val="2"/>
        <scheme val="minor"/>
      </rPr>
      <t>Bloc de compétences : chimie</t>
    </r>
    <r>
      <rPr>
        <sz val="11"/>
        <color theme="1"/>
        <rFont val="Arial"/>
        <family val="2"/>
        <scheme val="minor"/>
      </rPr>
      <t xml:space="preserve">
</t>
    </r>
    <r>
      <rPr>
        <i/>
        <sz val="11"/>
        <color theme="1"/>
        <rFont val="Arial"/>
        <family val="2"/>
        <scheme val="minor"/>
      </rPr>
      <t>(Cursus Master en Ingénierie : Chimie Environnement; Master Chimie, Parcours Sciences et Ingénierie de l’environnement; Master Mécanique, Parcours Thermal Science and Energy)</t>
    </r>
  </si>
  <si>
    <r>
      <rPr>
        <b/>
        <sz val="11"/>
        <color theme="1"/>
        <rFont val="Arial"/>
        <family val="2"/>
        <scheme val="minor"/>
      </rPr>
      <t xml:space="preserve">Bloc de compétences: mécanique </t>
    </r>
    <r>
      <rPr>
        <sz val="11"/>
        <color theme="1"/>
        <rFont val="Arial"/>
        <family val="2"/>
        <scheme val="minor"/>
      </rPr>
      <t xml:space="preserve">
</t>
    </r>
    <r>
      <rPr>
        <b/>
        <sz val="11"/>
        <color theme="1"/>
        <rFont val="Arial"/>
        <family val="2"/>
        <scheme val="minor"/>
      </rPr>
      <t>Domaine d'usage : mobilité routière lourde</t>
    </r>
    <r>
      <rPr>
        <sz val="11"/>
        <color theme="1"/>
        <rFont val="Arial"/>
        <family val="2"/>
        <scheme val="minor"/>
      </rPr>
      <t xml:space="preserve">
</t>
    </r>
    <r>
      <rPr>
        <i/>
        <sz val="11"/>
        <color theme="1"/>
        <rFont val="Arial"/>
        <family val="2"/>
        <scheme val="minor"/>
      </rPr>
      <t>(Bac professionnel maintenance des véhicules option B; CAP maintenance des véhicules option B)</t>
    </r>
  </si>
  <si>
    <r>
      <rPr>
        <b/>
        <sz val="11"/>
        <color theme="1"/>
        <rFont val="Arial"/>
        <family val="2"/>
        <scheme val="minor"/>
      </rPr>
      <t xml:space="preserve">Bloc de compétences: mécanique </t>
    </r>
    <r>
      <rPr>
        <sz val="11"/>
        <color theme="1"/>
        <rFont val="Arial"/>
        <family val="2"/>
        <scheme val="minor"/>
      </rPr>
      <t xml:space="preserve">
</t>
    </r>
    <r>
      <rPr>
        <b/>
        <sz val="11"/>
        <color theme="1"/>
        <rFont val="Arial"/>
        <family val="2"/>
        <scheme val="minor"/>
      </rPr>
      <t>Domaine d'usage : mobilité routière légère</t>
    </r>
    <r>
      <rPr>
        <sz val="11"/>
        <color theme="1"/>
        <rFont val="Arial"/>
        <family val="2"/>
        <scheme val="minor"/>
      </rPr>
      <t xml:space="preserve">
</t>
    </r>
    <r>
      <rPr>
        <i/>
        <sz val="11"/>
        <color theme="1"/>
        <rFont val="Arial"/>
        <family val="2"/>
        <scheme val="minor"/>
      </rPr>
      <t>(CAP Maintenance des véhicules option A; Bac Pro Maintenance des véhicules option A)</t>
    </r>
  </si>
  <si>
    <r>
      <rPr>
        <b/>
        <sz val="11"/>
        <color theme="1"/>
        <rFont val="Arial"/>
        <family val="2"/>
        <scheme val="minor"/>
      </rPr>
      <t xml:space="preserve">Bloc de compétences : mécanique, électricité
Domaine d'usage : mobilité marine
</t>
    </r>
    <r>
      <rPr>
        <i/>
        <sz val="11"/>
        <color theme="1"/>
        <rFont val="Arial"/>
        <family val="2"/>
        <scheme val="minor"/>
      </rPr>
      <t>(Bac Pro électromécanicien marine )</t>
    </r>
  </si>
  <si>
    <r>
      <rPr>
        <b/>
        <sz val="11"/>
        <color theme="1"/>
        <rFont val="Arial"/>
        <family val="2"/>
        <scheme val="minor"/>
      </rPr>
      <t xml:space="preserve">Bloc de compétences : mécanique
Doomaine d'usage : chariots de manutention
</t>
    </r>
    <r>
      <rPr>
        <i/>
        <sz val="11"/>
        <color theme="1"/>
        <rFont val="Arial"/>
        <family val="2"/>
        <scheme val="minor"/>
      </rPr>
      <t>(CAP Maintenance des matériels option B ; Bac Pro Maintenance des matériels option B )</t>
    </r>
  </si>
  <si>
    <r>
      <rPr>
        <b/>
        <sz val="11"/>
        <color theme="1"/>
        <rFont val="Arial"/>
        <family val="2"/>
        <scheme val="minor"/>
      </rPr>
      <t>Bloc de compétences : automatisme, électricité, réalisation d'opérations de maintenance industrielle, mécanique des fluides (gaz), mécanique</t>
    </r>
    <r>
      <rPr>
        <sz val="11"/>
        <color theme="1"/>
        <rFont val="Arial"/>
        <family val="2"/>
        <scheme val="minor"/>
      </rPr>
      <t xml:space="preserve">
</t>
    </r>
    <r>
      <rPr>
        <i/>
        <sz val="11"/>
        <color theme="1"/>
        <rFont val="Arial"/>
        <family val="2"/>
        <scheme val="minor"/>
      </rPr>
      <t>( LP Maintenance des systèmes industriels, de production et d'énergie, Parcours maintenance des systèmes automatisés; Titre professionnel électromécanicien de maintenance industrielle;Titre professionnel technicien de maintenance industrielle; BTS - Production - Maintenance des systèmes - option B Systèmes énergétiques et fluidiques; Titre professionnel tuyauteur industriel)</t>
    </r>
  </si>
  <si>
    <r>
      <rPr>
        <b/>
        <sz val="11"/>
        <color theme="1"/>
        <rFont val="Arial"/>
        <family val="2"/>
        <scheme val="minor"/>
      </rPr>
      <t>Bloc de compétences : électricité, mécanique, informatique, réalisation d'opérations de maintenance industrielle</t>
    </r>
    <r>
      <rPr>
        <i/>
        <sz val="11"/>
        <color theme="1"/>
        <rFont val="Arial"/>
        <family val="2"/>
        <scheme val="minor"/>
      </rPr>
      <t xml:space="preserve">
(Bac Pro Maintenance des systèmes de production connectés)</t>
    </r>
  </si>
  <si>
    <r>
      <rPr>
        <b/>
        <sz val="11"/>
        <color theme="1"/>
        <rFont val="Arial"/>
        <family val="2"/>
        <scheme val="minor"/>
      </rPr>
      <t xml:space="preserve">Bloc de compétences : mécanique
Domaine d'usage: mobilité routière lourde </t>
    </r>
    <r>
      <rPr>
        <sz val="11"/>
        <color theme="1"/>
        <rFont val="Arial"/>
        <family val="2"/>
        <scheme val="minor"/>
      </rPr>
      <t xml:space="preserve">
</t>
    </r>
    <r>
      <rPr>
        <i/>
        <sz val="11"/>
        <color theme="1"/>
        <rFont val="Arial"/>
        <family val="2"/>
        <scheme val="minor"/>
      </rPr>
      <t>(BTS - Production - Maintenance des véhicules option véhicules de transport routier; CQP  Mécanicien de Maintenance véhicules utilitaires et industriels; Titre professionnel mécanicien réparateur de véhicules industriels)</t>
    </r>
  </si>
  <si>
    <t xml:space="preserve">Adapter les programmes en priorité Maine et Loire et Loire Atlantique </t>
  </si>
  <si>
    <r>
      <t xml:space="preserve">Bloc de compétences: mécanique
Domaine d'usage : mobilité légère
</t>
    </r>
    <r>
      <rPr>
        <i/>
        <sz val="11"/>
        <color theme="1"/>
        <rFont val="Arial"/>
        <family val="2"/>
        <scheme val="minor"/>
      </rPr>
      <t>(CQP Mécanicien de maintenance automobile; Titre professionnel mécanicien(ne) automobile; FCIL Métiers Connexes Automobile; BTS - Production - Maintenance des véhicules option voitures particulières; BTS - Production - Motorisations toutes énergies)</t>
    </r>
  </si>
  <si>
    <r>
      <t xml:space="preserve">Bloc de compétences : réalisation d'opérations de maintenance de navire 
</t>
    </r>
    <r>
      <rPr>
        <i/>
        <sz val="11"/>
        <color theme="1"/>
        <rFont val="Arial"/>
        <family val="2"/>
        <scheme val="minor"/>
      </rPr>
      <t>(Brevet d'officier électrotechnicien cursus externe; BTS - Production - Motorisations toutes énergies)</t>
    </r>
  </si>
  <si>
    <r>
      <rPr>
        <b/>
        <sz val="11"/>
        <color theme="1"/>
        <rFont val="Arial"/>
        <family val="2"/>
        <scheme val="minor"/>
      </rPr>
      <t xml:space="preserve">Bloc de compétences : métrologie pour la réalisation de test et essais </t>
    </r>
    <r>
      <rPr>
        <sz val="11"/>
        <color theme="1"/>
        <rFont val="Arial"/>
        <family val="2"/>
        <scheme val="minor"/>
      </rPr>
      <t xml:space="preserve">
</t>
    </r>
    <r>
      <rPr>
        <i/>
        <sz val="11"/>
        <color theme="1"/>
        <rFont val="Arial"/>
        <family val="2"/>
        <scheme val="minor"/>
      </rPr>
      <t>(BTS - Production - Métiers de la mesure; BUT - Mesures physiques; BUT - Génie mécanique et productique)</t>
    </r>
  </si>
  <si>
    <r>
      <rPr>
        <b/>
        <sz val="11"/>
        <color theme="1"/>
        <rFont val="Arial"/>
        <family val="2"/>
        <scheme val="minor"/>
      </rPr>
      <t>Bloc de compétences : conception, automatisme</t>
    </r>
    <r>
      <rPr>
        <i/>
        <sz val="11"/>
        <color theme="1"/>
        <rFont val="Arial"/>
        <family val="2"/>
        <scheme val="minor"/>
      </rPr>
      <t xml:space="preserve">
(BTS - Production - Conception et Réalisation de Systèmes Automatiques)</t>
    </r>
  </si>
  <si>
    <r>
      <t>Bloc de compétences: génie climatique, mécanique, montage assemblage</t>
    </r>
    <r>
      <rPr>
        <i/>
        <sz val="11"/>
        <color theme="1"/>
        <rFont val="Arial"/>
        <family val="2"/>
        <scheme val="minor"/>
      </rPr>
      <t xml:space="preserve">
(BTS - Production - Fluide, énergie, domotique - option A génie climatique et fluidique; BTS - Production - Maintenance des systèmes - option B Systèmes énergétiques et fluidiques; BTS - Production - Motorisations toutes énergies)</t>
    </r>
  </si>
  <si>
    <r>
      <rPr>
        <b/>
        <sz val="11"/>
        <color theme="1"/>
        <rFont val="Arial"/>
        <family val="2"/>
        <scheme val="minor"/>
      </rPr>
      <t>Bloc de compétences : automatisme, contrôle commande, conversion de puissance 
Domaine d'usage : mobilité marine</t>
    </r>
    <r>
      <rPr>
        <sz val="11"/>
        <color theme="1"/>
        <rFont val="Arial"/>
        <family val="2"/>
        <scheme val="minor"/>
      </rPr>
      <t xml:space="preserve">
</t>
    </r>
    <r>
      <rPr>
        <i/>
        <sz val="11"/>
        <color theme="1"/>
        <rFont val="Arial"/>
        <family val="2"/>
        <scheme val="minor"/>
      </rPr>
      <t>(BTS - Maritime - Mécatronique Navale; BTS - Production - Conception et industrialisation en construction navale; LP Métiers de l'industrie : industrie navale et maritime, Parcours Ingénierie Navale et Nautique)</t>
    </r>
  </si>
  <si>
    <r>
      <t xml:space="preserve">Bloc de compétences: mécanique, mécanique des fluides, automatisme
</t>
    </r>
    <r>
      <rPr>
        <i/>
        <sz val="11"/>
        <color theme="1"/>
        <rFont val="Arial"/>
        <family val="2"/>
        <scheme val="minor"/>
      </rPr>
      <t>(Titre professionnel tuyauteur industriel; BTS - Production - Maintenance des systèmes - option B Systèmes énergétiques et fluidiques)</t>
    </r>
  </si>
  <si>
    <r>
      <t xml:space="preserve">Bloc de compétences: génie électrique, contrôle et essais, éledctricité (réalisation de schémas électriques et dimmensionnements), génie mécanique
</t>
    </r>
    <r>
      <rPr>
        <i/>
        <sz val="11"/>
        <color theme="1"/>
        <rFont val="Arial"/>
        <family val="2"/>
        <scheme val="minor"/>
      </rPr>
      <t>(BTS - Production - Electrotechnique; BTS - Production - Conception et industrialisation en microtechniques)</t>
    </r>
  </si>
  <si>
    <r>
      <rPr>
        <b/>
        <sz val="11"/>
        <color rgb="FF202124"/>
        <rFont val="Arial"/>
        <family val="2"/>
        <scheme val="minor"/>
      </rPr>
      <t>Bloc de compétences : électrotechnique (réalisation de schémas électriques et dimmensionnements), contrôle et essais, génie mécanique</t>
    </r>
    <r>
      <rPr>
        <sz val="11"/>
        <color rgb="FF202124"/>
        <rFont val="Arial"/>
        <family val="2"/>
        <scheme val="minor"/>
      </rPr>
      <t xml:space="preserve">
</t>
    </r>
    <r>
      <rPr>
        <i/>
        <sz val="11"/>
        <color rgb="FF202124"/>
        <rFont val="Arial"/>
        <family val="2"/>
        <scheme val="minor"/>
      </rPr>
      <t>(BTS - Production - Electrotechnique; BTS - Production - Conception et industrialisation en microtechniques)</t>
    </r>
  </si>
  <si>
    <r>
      <t xml:space="preserve">Bloc de compétence : conception, génie des procédés, mécanique des fluides, génie électrique, métrologie, génie thermique 
</t>
    </r>
    <r>
      <rPr>
        <i/>
        <sz val="11"/>
        <color theme="1"/>
        <rFont val="Arial"/>
        <family val="2"/>
        <scheme val="minor"/>
      </rPr>
      <t>(BTS - Production - Maintenance des systèmes - option B Systèmes énergétiques et fluidiques; BUT - Génie chimique génie des procédés; LP Maîtrise de l’énergie, électricité, développement durable, Parcours Génie thermique)</t>
    </r>
  </si>
  <si>
    <r>
      <t xml:space="preserve">Bloc de compétences : électricité, mécanique des fluides (gaz), thermique , supervision des machines et réglages, réalisation d'opérations de maintenance </t>
    </r>
    <r>
      <rPr>
        <i/>
        <sz val="11"/>
        <color theme="1"/>
        <rFont val="Arial"/>
        <family val="2"/>
        <scheme val="minor"/>
      </rPr>
      <t xml:space="preserve">
(BTS - Production - Maintenance des systèmes - option B Systèmes énergétiques et fluidiques)</t>
    </r>
  </si>
  <si>
    <r>
      <rPr>
        <b/>
        <sz val="11"/>
        <color theme="1"/>
        <rFont val="Arial"/>
        <family val="2"/>
        <scheme val="minor"/>
      </rPr>
      <t xml:space="preserve">Bloc de compétences: génie climatique , génie électrique, soudure/plomberie, génie automatique </t>
    </r>
    <r>
      <rPr>
        <sz val="11"/>
        <color theme="1"/>
        <rFont val="Arial"/>
        <family val="2"/>
        <scheme val="minor"/>
      </rPr>
      <t xml:space="preserve">
</t>
    </r>
    <r>
      <rPr>
        <i/>
        <sz val="11"/>
        <color theme="1"/>
        <rFont val="Arial"/>
        <family val="2"/>
        <scheme val="minor"/>
      </rPr>
      <t>(BTS - Production - Fluide, énergie, domotique - option A génie climatique et fluidique; Titre professionnel tuyauteur industriel)</t>
    </r>
  </si>
  <si>
    <t>Bloc de compétences : métrologie et mécanique</t>
  </si>
  <si>
    <r>
      <rPr>
        <b/>
        <sz val="11"/>
        <color theme="1"/>
        <rFont val="Arial"/>
        <family val="2"/>
        <scheme val="minor"/>
      </rPr>
      <t>Bloc de compétences : génie thermique, mécanique des fluides, électricité</t>
    </r>
    <r>
      <rPr>
        <sz val="11"/>
        <color theme="1"/>
        <rFont val="Arial"/>
        <family val="2"/>
        <scheme val="minor"/>
      </rPr>
      <t xml:space="preserve">
</t>
    </r>
    <r>
      <rPr>
        <i/>
        <sz val="11"/>
        <color theme="1"/>
        <rFont val="Arial"/>
        <family val="2"/>
        <scheme val="minor"/>
      </rPr>
      <t>(Ingénieur diplômé de Polytech Nantes spécialité Maîtrise des énergies par apprentissage; Ingénieur diplômé de Polytech Nantes spécialité Énergie Électrique; Master Electronique, énergie électrique, automatique, Parcours Systèmes Électroniques Embarqués Connectés ; Parcours Energie Électrique)</t>
    </r>
  </si>
  <si>
    <r>
      <t>Bloc de compétences : électronique, conception</t>
    </r>
    <r>
      <rPr>
        <i/>
        <sz val="11"/>
        <color theme="1"/>
        <rFont val="Arial"/>
        <family val="2"/>
        <scheme val="minor"/>
      </rPr>
      <t xml:space="preserve">
(Ingénieur diplômé de Polytech Nantes spécialité Électronique et technologies numériques; Ingénieur CESI, spécialité Systèmes Electroniques et Electriques Embarqués; Master Electronique, énergie électrique, automatique; Ingénieur diplômé de l’ESEO, spécialité électronique et objets connectés)</t>
    </r>
  </si>
  <si>
    <r>
      <rPr>
        <b/>
        <sz val="11"/>
        <color theme="1"/>
        <rFont val="Arial"/>
        <family val="2"/>
        <scheme val="minor"/>
      </rPr>
      <t>Bloc de compétences: génie thermique, mécanique des fluides (gaz et liquide)</t>
    </r>
    <r>
      <rPr>
        <sz val="11"/>
        <color theme="1"/>
        <rFont val="Arial"/>
        <family val="2"/>
        <scheme val="minor"/>
      </rPr>
      <t xml:space="preserve">
(</t>
    </r>
    <r>
      <rPr>
        <i/>
        <sz val="11"/>
        <color theme="1"/>
        <rFont val="Arial"/>
        <family val="2"/>
        <scheme val="minor"/>
      </rPr>
      <t>Cursus Master en Ingénierie : Chimie Environnement; Ingénierie des Procédés Innovants (IPI); Formation ingénieurs généralistes; Ingénieur diplômé de l’ISMANS, cursus ingénieur des matériaux; Master Sciences de la matière, Parcours Energies Nouvelles et Renouvelables; Master Ingénierie des systèmes complexes, Parcours Interdisciplinaire en Technologies Innovantes; Ingénieur diplômé de l’ESTACA, filière Aéronautique</t>
    </r>
  </si>
  <si>
    <r>
      <rPr>
        <b/>
        <sz val="11"/>
        <color theme="1"/>
        <rFont val="Arial"/>
        <family val="2"/>
        <scheme val="minor"/>
      </rPr>
      <t xml:space="preserve">Bloc de compétences : Mécanique des fluides (gaz), électricité, mécanique, automatisme, génie climatique </t>
    </r>
    <r>
      <rPr>
        <sz val="11"/>
        <color theme="1"/>
        <rFont val="Arial"/>
        <family val="2"/>
        <scheme val="minor"/>
      </rPr>
      <t xml:space="preserve">
</t>
    </r>
    <r>
      <rPr>
        <i/>
        <sz val="11"/>
        <color theme="1"/>
        <rFont val="Arial"/>
        <family val="2"/>
        <scheme val="minor"/>
      </rPr>
      <t>(Ingénierie des Procédés Innovants (IPI); Formations d'ingénieur généraliste; Master Ingénierie des systèmes complexes, Parcours Interdisciplinaire en Technologies Innovantes; Master Sciences de la matière, Parcours Energies Nouvelles et Renouvelables)</t>
    </r>
  </si>
  <si>
    <r>
      <rPr>
        <b/>
        <sz val="11"/>
        <color theme="1"/>
        <rFont val="Arial"/>
        <family val="2"/>
        <scheme val="minor"/>
      </rPr>
      <t>Bloc de compétences : automatisme</t>
    </r>
    <r>
      <rPr>
        <sz val="11"/>
        <color theme="1"/>
        <rFont val="Arial"/>
        <family val="2"/>
        <scheme val="minor"/>
      </rPr>
      <t xml:space="preserve">
</t>
    </r>
    <r>
      <rPr>
        <i/>
        <sz val="11"/>
        <color theme="1"/>
        <rFont val="Arial"/>
        <family val="2"/>
        <scheme val="minor"/>
      </rPr>
      <t>(Master Electronique, énergie électrique, automatique ; Parcours Systèmes Electroniques Embarqués Connectés ; Parcours Capteurs Intelligents et qualité des Systèmes Electroniques; Ingénieur diplômé de Polytech Nantes spécialité Électronique et technologies;Ingénieur diplômé de l’ESEO, spécialité systèmes embarqués;  Ingénieur CESI, spécialité Systèmes Electroniques et Electriques Embarqués  numériques; Ingénieur diplômé de l’ESIEA spécialisé en Systèmes Embarqués &amp; Autonomes)</t>
    </r>
  </si>
  <si>
    <r>
      <rPr>
        <b/>
        <sz val="11"/>
        <color theme="1"/>
        <rFont val="Arial"/>
        <family val="2"/>
        <scheme val="minor"/>
      </rPr>
      <t>Bloc de compétences : génie thermique, modélisation, mécanique des fluides (gaz), génie des matériaux</t>
    </r>
    <r>
      <rPr>
        <sz val="11"/>
        <color theme="1"/>
        <rFont val="Arial"/>
        <family val="2"/>
        <scheme val="minor"/>
      </rPr>
      <t xml:space="preserve">
</t>
    </r>
    <r>
      <rPr>
        <i/>
        <sz val="11"/>
        <color theme="1"/>
        <rFont val="Arial"/>
        <family val="2"/>
        <scheme val="minor"/>
      </rPr>
      <t>(Cursus Master en Ingénierie - Ingénierie en Calcul Mécanique; Ingénierie des Procédés Innovants (IPI); Master Mécanique, Parcours Thermal Science and Energy; Ingénieur diplômé de Polytech Nantes spécialité Ingénieur Thermique Énergétique et Mécanique; )</t>
    </r>
  </si>
  <si>
    <r>
      <rPr>
        <b/>
        <sz val="11"/>
        <color theme="1"/>
        <rFont val="Arial"/>
        <family val="2"/>
        <scheme val="minor"/>
      </rPr>
      <t xml:space="preserve">Bloc de compétences : automatisme, contrôle commande, conversion de puissance </t>
    </r>
    <r>
      <rPr>
        <sz val="11"/>
        <color theme="1"/>
        <rFont val="Arial"/>
        <family val="2"/>
        <scheme val="minor"/>
      </rPr>
      <t xml:space="preserve">
</t>
    </r>
    <r>
      <rPr>
        <i/>
        <sz val="11"/>
        <color theme="1"/>
        <rFont val="Arial"/>
        <family val="2"/>
        <scheme val="minor"/>
      </rPr>
      <t>(BTS - Maritime - Mécatronique Navale; BTS - Production - Conception et industrialisation en construction navale; LP Métiers de l'industrie : industrie navale et maritime, Parcours Ingénierie Navale et Nautique)</t>
    </r>
  </si>
  <si>
    <r>
      <rPr>
        <b/>
        <sz val="11"/>
        <color theme="1"/>
        <rFont val="Arial"/>
        <family val="2"/>
        <scheme val="minor"/>
      </rPr>
      <t>Bloc de compétences : génie climatique, mécanique (axé mobilité légère), montage assemblage</t>
    </r>
    <r>
      <rPr>
        <sz val="11"/>
        <color theme="1"/>
        <rFont val="Arial"/>
        <family val="2"/>
        <scheme val="minor"/>
      </rPr>
      <t xml:space="preserve">
</t>
    </r>
    <r>
      <rPr>
        <i/>
        <sz val="11"/>
        <color theme="1"/>
        <rFont val="Arial"/>
        <family val="2"/>
        <scheme val="minor"/>
      </rPr>
      <t>(BTS - Production - Fluide, énergie, domotique - option A génie climatique et fluidique; BTS - Production - Maintenance des systèmes - option B Systèmes énergétiques et fluidiques; CQP Mécanicien de maintenance automobile; Titre professionnel mécanicien(ne) automobile; FCIL Métiers Connexes Automobile; BTS - Production - Maintenance des véhicules option voitures particulières; BTS - Production - Motorisations toutes énergies</t>
    </r>
  </si>
  <si>
    <r>
      <rPr>
        <b/>
        <sz val="11"/>
        <color theme="1"/>
        <rFont val="Arial"/>
        <family val="2"/>
        <scheme val="minor"/>
      </rPr>
      <t>Bloc de compétences: génie thermique, gestion des fluides (gaz et liquide)</t>
    </r>
    <r>
      <rPr>
        <sz val="11"/>
        <color theme="1"/>
        <rFont val="Arial"/>
        <family val="2"/>
        <scheme val="minor"/>
      </rPr>
      <t xml:space="preserve">
(</t>
    </r>
    <r>
      <rPr>
        <i/>
        <sz val="11"/>
        <color theme="1"/>
        <rFont val="Arial"/>
        <family val="2"/>
        <scheme val="minor"/>
      </rPr>
      <t>Cursus Master en Ingénierie : Chimie Environnement; Ingénierie des Procédés Innovants (IPI); Formation ingénieurs généralistes; Ingénieur diplômé de l’ISMANS, cursus ingénieur des matériaux; Master Sciences de la matière, Parcours Energies Nouvelles et Renouvelables; Master Ingénierie des systèmes complexes, Parcours Interdisciplinaire en Technologies Innovantes; Ingénieur diplômé de l’ESTACA, filière Aéronautique</t>
    </r>
  </si>
  <si>
    <r>
      <rPr>
        <b/>
        <sz val="11"/>
        <color theme="1"/>
        <rFont val="Arial"/>
        <family val="2"/>
        <scheme val="minor"/>
      </rPr>
      <t xml:space="preserve">Bloc de compétences : Mécanique des fluides (gaz), automatisme, génie climatique/thermique, génie des matériaux </t>
    </r>
    <r>
      <rPr>
        <sz val="11"/>
        <color theme="1"/>
        <rFont val="Arial"/>
        <family val="2"/>
        <scheme val="minor"/>
      </rPr>
      <t xml:space="preserve">
</t>
    </r>
    <r>
      <rPr>
        <i/>
        <sz val="11"/>
        <color theme="1"/>
        <rFont val="Arial"/>
        <family val="2"/>
        <scheme val="minor"/>
      </rPr>
      <t>(Graduate Programme Matériaux innovants et systèmes énergétiques - niveau Master ; Ingénieur diplômé de l’ISMANS, cursus ingénieur des matériaux; Formations d'ingénieur généraliste; Ingénierie des Procédés Innovants (IPI); Ingénieur diplômé de Polytech Nantes; Master Sciences de la matière, Parcours Energies Nouvelles et Renouvelables spécialité Ingénieur Thermique Énergétique et Mécanique)</t>
    </r>
  </si>
  <si>
    <r>
      <t>Bloc de compétences: conception,  génie logiciel, contrôle commande, électricité, mécanique:</t>
    </r>
    <r>
      <rPr>
        <i/>
        <sz val="11"/>
        <color theme="1"/>
        <rFont val="Arial"/>
        <family val="2"/>
        <scheme val="minor"/>
      </rPr>
      <t xml:space="preserve">
(Formations d'ingénieur généraliste; Master Ingénierie des systèmes complexes, Parcours Interdisciplinaire en Technologies Innovantes; Ingénieur diplômé de l’ESTACA, filière Automobile/filière Navale; Master Sciences de la matière, Parcours Energies Nouvelles et Renouvelables; Ingénieur diplômé de l’ISMANS, cursus ingénieur mécanique; Master - Energétique et Propulsion</t>
    </r>
  </si>
  <si>
    <r>
      <t xml:space="preserve">Indications sur les évolutions à apporter dans le programme
</t>
    </r>
    <r>
      <rPr>
        <sz val="11"/>
        <color theme="1"/>
        <rFont val="Arial"/>
        <family val="2"/>
        <scheme val="minor"/>
      </rPr>
      <t xml:space="preserve"> Détails en Feuille 2</t>
    </r>
  </si>
  <si>
    <t>Etapes de la chaine de valeur H2</t>
  </si>
  <si>
    <t>Compétences nécessaire pour chaque étape et selon le niveau de qualification</t>
  </si>
  <si>
    <t>Nombre de personnes formées en 2040 (sans poursuite d'étude)
Scénario haut</t>
  </si>
  <si>
    <t>Nombre de personnes formées en 2040 (sans poursuite d'étude)
Scénario modéré</t>
  </si>
  <si>
    <r>
      <rPr>
        <b/>
        <sz val="18"/>
        <rFont val="Arial"/>
        <family val="2"/>
        <scheme val="minor"/>
      </rPr>
      <t>Cas Particuliers</t>
    </r>
    <r>
      <rPr>
        <b/>
        <sz val="18"/>
        <color theme="4" tint="-0.499984740745262"/>
        <rFont val="Arial"/>
        <family val="2"/>
        <scheme val="minor"/>
      </rPr>
      <t xml:space="preserve"> </t>
    </r>
    <r>
      <rPr>
        <b/>
        <sz val="11"/>
        <color theme="4" tint="-0.499984740745262"/>
        <rFont val="Arial"/>
        <family val="2"/>
        <scheme val="minor"/>
      </rPr>
      <t xml:space="preserve">
</t>
    </r>
    <r>
      <rPr>
        <sz val="11"/>
        <rFont val="Arial"/>
        <family val="2"/>
        <scheme val="minor"/>
      </rPr>
      <t xml:space="preserve">Entre 2030 et 2040, deux activités ont des chances de se développer en Pays de la Loire </t>
    </r>
    <r>
      <rPr>
        <b/>
        <sz val="11"/>
        <rFont val="Arial"/>
        <family val="2"/>
        <scheme val="minor"/>
      </rPr>
      <t>: le transport d'H2 par pipelines et la production d'hydrogène à partir d'énergies marines</t>
    </r>
    <r>
      <rPr>
        <sz val="11"/>
        <rFont val="Arial"/>
        <family val="2"/>
        <scheme val="minor"/>
      </rPr>
      <t xml:space="preserve"> (éoliennes off shore notamment).
Ces deux activtés n'étant pas anticipées pour 2030 dans les scénarios, elles n'apparaissent pas dans le catalogue de formations à modifier ou à développer. 
</t>
    </r>
    <r>
      <rPr>
        <sz val="14"/>
        <color theme="4" tint="-0.499984740745262"/>
        <rFont val="Arial"/>
        <family val="2"/>
        <scheme val="minor"/>
      </rPr>
      <t xml:space="preserve">
</t>
    </r>
    <r>
      <rPr>
        <b/>
        <sz val="14"/>
        <color theme="4" tint="-0.499984740745262"/>
        <rFont val="Arial"/>
        <family val="2"/>
        <scheme val="minor"/>
      </rPr>
      <t xml:space="preserve">Transport par pipeline 
</t>
    </r>
    <r>
      <rPr>
        <sz val="11"/>
        <rFont val="Arial"/>
        <family val="2"/>
        <scheme val="minor"/>
      </rPr>
      <t xml:space="preserve">-Le nombre de poste estimé pour le scénario modéré (hypothèse d'un pipeline le long de la zone industriao-portuaire) est de 40 postes (dont 70% en conception)
-Le nombre de postes estimé par le scénario haut (hypothèse du tracé European Hydrogen Backbone) est de 600 postes. (dont 70% en conception)
</t>
    </r>
    <r>
      <rPr>
        <i/>
        <sz val="11"/>
        <rFont val="Arial"/>
        <family val="2"/>
        <scheme val="minor"/>
      </rPr>
      <t xml:space="preserve">Attention, une partie de la conception se fera surement hors des Pays de la Loire.
</t>
    </r>
    <r>
      <rPr>
        <b/>
        <sz val="11"/>
        <rFont val="Arial"/>
        <family val="2"/>
        <scheme val="minor"/>
      </rPr>
      <t xml:space="preserve">Compétences nécessaires de la conception à la maintenance: </t>
    </r>
    <r>
      <rPr>
        <sz val="11"/>
        <rFont val="Arial"/>
        <family val="2"/>
        <scheme val="minor"/>
      </rPr>
      <t xml:space="preserve">
-Compétences générales: expertise corrosion, électro-mécanique, expertise matériaux, smart-grids, informatique, génie des procédés, génie civil, mécanique des fluides, outils de conception, QSE, métrologie (analyse gaz, mesures chimiques)
-Compétences opérationnelles: plomberie, soudure, tuyauterie, montage assemblage 
-Développement de projets: QSE, droit
</t>
    </r>
    <r>
      <rPr>
        <b/>
        <sz val="11"/>
        <rFont val="Arial"/>
        <family val="2"/>
        <scheme val="minor"/>
      </rPr>
      <t xml:space="preserve">Exemples de formations à développer:
</t>
    </r>
    <r>
      <rPr>
        <sz val="11"/>
        <rFont val="Arial"/>
        <family val="2"/>
        <scheme val="minor"/>
      </rPr>
      <t xml:space="preserve">-Niveau 3 et 4:CAP Réalisations industrielles en chaudronnerie ou soudage - option A chaudronnerie; CAP Réalisations industrielles en chaudronnerie ou soudage - option B soudage; Bac pro Technicien en chaudronnerie industrielle; CAP Aéronautique option structure
-Niveau 5 et 6: BTS - Production - Conception et réalisation en chaudronnerie industrielle; Mention Complémentaire technicien en soudage; Titre professionnel agent de fabrication et montage en chaudronnerie; Titre professionnel tuyauteur industriel; BUT - Science et génie des matériaux; BUT - Génie civil - Construction durable; formations QSE; formation métrologie
-NIveau 7: Ingénieur diplômé de l’ISMANS, cursus ingénieur des matériaux; Master Technologie Marine, Parcours Travaux Publics et Maritimes; formations QSE; Formation d'ingénieurs généralistes; Master Ingénierie des systèmes complexes, Parcours Interdisciplinaire en Technologies Innovantes; Master Sciences de la matière, Parcours Energies Nouvelles et Renouvelables
</t>
    </r>
    <r>
      <rPr>
        <b/>
        <sz val="14"/>
        <color theme="4" tint="-0.499984740745262"/>
        <rFont val="Arial"/>
        <family val="2"/>
        <scheme val="minor"/>
      </rPr>
      <t xml:space="preserve">Production d'hydrogène à partir d'énergie Marine </t>
    </r>
    <r>
      <rPr>
        <sz val="11"/>
        <rFont val="Arial"/>
        <family val="2"/>
        <scheme val="minor"/>
      </rPr>
      <t xml:space="preserve">
Lamodélisation réalisée n'a pas donné d'estimation de postes.</t>
    </r>
    <r>
      <rPr>
        <b/>
        <sz val="11"/>
        <rFont val="Arial"/>
        <family val="2"/>
        <scheme val="minor"/>
      </rPr>
      <t xml:space="preserve">
</t>
    </r>
    <r>
      <rPr>
        <sz val="11"/>
        <rFont val="Arial"/>
        <family val="2"/>
        <scheme val="minor"/>
      </rPr>
      <t xml:space="preserve">Pour anticiper ce type de projet, la recommendation est plutot d'ajouter des modules H2 dans les formations dédiées aux EMR.
Exemples de formations:
-Niveau 5 et 6: LP Métiers de l'industrie : industrie navale et maritime, Parcours Ingénierie Navale et Nautique
-NIveau 7:Master Economie de l'environnement, de l'énergie et des transports, Parcours Analyse économique de projets environnement mer énergie; Erasmus Mundus Master in Renewable Energy in the Marine Environment;Master Mécanique, Parcours Mécanique et Fiabilité des Structures ; Parcours Maintenance and reliability of marine renewable energy
</t>
    </r>
  </si>
  <si>
    <r>
      <t xml:space="preserve">Cet outil a été réalisé dans le cadre de la conduite de l'étude "Diagnostic emplois-compétences pour le développement de l'hydrogène en région Pays de la Loire", conduite de décembre 2022 à avril 2023. Il détaille les évolutions à apporter aux formations ligériennes pour assurer le développement de la filière hydrogène.
Une partie des données provient de la "Modélisation ETP" réalisée pour analyser les besoins de la filière. </t>
    </r>
    <r>
      <rPr>
        <b/>
        <i/>
        <sz val="11"/>
        <color rgb="FFFF0000"/>
        <rFont val="Calibri Light"/>
        <family val="2"/>
      </rPr>
      <t>Les deux fichiers sont liés.</t>
    </r>
    <r>
      <rPr>
        <i/>
        <sz val="11"/>
        <color rgb="FF757070"/>
        <rFont val="Calibri Light"/>
        <family val="2"/>
      </rPr>
      <t xml:space="preserve">
Ce document est complété de plusieurs documents:
-Une analyse préalable des écarts entre les besoins identifiés et les formations existantes
-Une note de positionnement régional
-Un plan d'action </t>
    </r>
  </si>
  <si>
    <r>
      <rPr>
        <b/>
        <sz val="11"/>
        <color rgb="FF757070"/>
        <rFont val="Calibri Light"/>
        <family val="2"/>
      </rPr>
      <t>1 - Hypothèses</t>
    </r>
    <r>
      <rPr>
        <sz val="11"/>
        <color rgb="FF757070"/>
        <rFont val="Calibri Light"/>
        <family val="2"/>
      </rPr>
      <t xml:space="preserve"> =&gt; Hypothèses struturantes (date de modification des formations), hypothèses permettant de combler les données manquantes (effectifs de formation,taux d'entrée sur le marché du travail) et hypothèses de répartition des métiers transverses
</t>
    </r>
    <r>
      <rPr>
        <b/>
        <sz val="11"/>
        <color rgb="FF757070"/>
        <rFont val="Calibri Light"/>
        <family val="2"/>
      </rPr>
      <t>2 - Contenu des modules</t>
    </r>
    <r>
      <rPr>
        <sz val="11"/>
        <color rgb="FF757070"/>
        <rFont val="Calibri Light"/>
        <family val="2"/>
      </rPr>
      <t xml:space="preserve">=&gt; Détail des modules mentionnées en feuille 4
</t>
    </r>
    <r>
      <rPr>
        <b/>
        <sz val="11"/>
        <color rgb="FF757070"/>
        <rFont val="Calibri Light"/>
        <family val="2"/>
      </rPr>
      <t xml:space="preserve">3 - Catalogue - Volume </t>
    </r>
    <r>
      <rPr>
        <sz val="11"/>
        <color rgb="FF757070"/>
        <rFont val="Calibri Light"/>
        <family val="2"/>
      </rPr>
      <t xml:space="preserve"> =&gt; Effectifs  à augmenter par bloc de compétences. Pour chaque bloc de compétences, des exemples de formations sont proposés de la manière la plus complète possible.</t>
    </r>
    <r>
      <rPr>
        <sz val="11"/>
        <color theme="6"/>
        <rFont val="Calibri Light"/>
        <family val="2"/>
      </rPr>
      <t xml:space="preserve">
 Attention : </t>
    </r>
    <r>
      <rPr>
        <b/>
        <sz val="11"/>
        <color rgb="FFFF0000"/>
        <rFont val="Calibri Light"/>
        <family val="2"/>
      </rPr>
      <t>Pour utiliser le</t>
    </r>
    <r>
      <rPr>
        <b/>
        <i/>
        <sz val="11"/>
        <color rgb="FFFF0000"/>
        <rFont val="Calibri Light"/>
        <family val="2"/>
      </rPr>
      <t xml:space="preserve"> Catalogue de formations à adapter ou à développer</t>
    </r>
    <r>
      <rPr>
        <b/>
        <sz val="11"/>
        <color rgb="FFFF0000"/>
        <rFont val="Calibri Light"/>
        <family val="2"/>
      </rPr>
      <t>, il est nécessaire d'être en mode "Poste" sur le fichier de modélisation des ETP.</t>
    </r>
    <r>
      <rPr>
        <b/>
        <sz val="11"/>
        <color rgb="FF757070"/>
        <rFont val="Calibri Light"/>
        <family val="2"/>
      </rPr>
      <t xml:space="preserve">
</t>
    </r>
    <r>
      <rPr>
        <sz val="11"/>
        <color rgb="FF757070"/>
        <rFont val="Calibri Light"/>
        <family val="2"/>
      </rPr>
      <t>4</t>
    </r>
    <r>
      <rPr>
        <b/>
        <sz val="11"/>
        <color rgb="FF757070"/>
        <rFont val="Calibri Light"/>
        <family val="2"/>
      </rPr>
      <t xml:space="preserve"> - Catalogue - Adaptation :</t>
    </r>
    <r>
      <rPr>
        <sz val="11"/>
        <color rgb="FF757070"/>
        <rFont val="Calibri Light"/>
        <family val="2"/>
      </rPr>
      <t xml:space="preserve"> Modules de formation à ajouter selon les blocs de compétences</t>
    </r>
    <r>
      <rPr>
        <b/>
        <sz val="11"/>
        <color rgb="FF757070"/>
        <rFont val="Calibri Light"/>
        <family val="2"/>
      </rPr>
      <t xml:space="preserve"> </t>
    </r>
    <r>
      <rPr>
        <sz val="11"/>
        <color rgb="FF757070"/>
        <rFont val="Calibri Light"/>
        <family val="2"/>
      </rPr>
      <t xml:space="preserve"> et effectifs concernés. Pour chaque bloc de compétences, des exemples de formations sont proposés de la manière la plus complète possible.
Attention : </t>
    </r>
    <r>
      <rPr>
        <b/>
        <sz val="11"/>
        <color rgb="FFFF0000"/>
        <rFont val="Calibri Light"/>
        <family val="2"/>
      </rPr>
      <t>Pour utiliser le Catalogue de formations à adapter ou à développer, il est nécessaire d'être en mode "Poste" sur le fichier de modélisation des ETP.</t>
    </r>
    <r>
      <rPr>
        <sz val="11"/>
        <color rgb="FF757070"/>
        <rFont val="Calibri Light"/>
        <family val="2"/>
      </rPr>
      <t xml:space="preserve">
5 - </t>
    </r>
    <r>
      <rPr>
        <b/>
        <sz val="11"/>
        <color rgb="FF757070"/>
        <rFont val="Calibri Light"/>
        <family val="2"/>
      </rPr>
      <t>Ambition 4 :</t>
    </r>
    <r>
      <rPr>
        <sz val="11"/>
        <color rgb="FF757070"/>
        <rFont val="Calibri Light"/>
        <family val="2"/>
      </rPr>
      <t xml:space="preserve"> Résultats correspondants à l'ambition 4 du Plan d'action lié à ce fichier. Cette feuille donne, pour les blocs de compétences pertinents,  les effectifs nécessaires pour pourvoir non pas à 100%, mais à 115% des besoins régionaux (cette valeur est d'ailleurs modulable).</t>
    </r>
    <r>
      <rPr>
        <b/>
        <sz val="11"/>
        <color rgb="FF757070"/>
        <rFont val="Calibri Light"/>
        <family val="2"/>
      </rPr>
      <t xml:space="preserve">
Annexes =&gt; </t>
    </r>
    <r>
      <rPr>
        <sz val="11"/>
        <color rgb="FF757070"/>
        <rFont val="Calibri Light"/>
        <family val="2"/>
      </rPr>
      <t>Détail des résultats pour feuilles 3 et 4: données par formation (effectif, taux d'entrée sur le marché du travail,..)</t>
    </r>
  </si>
  <si>
    <t>Taux d'entrée sur le marché du travail (non poursuite d'étude) moyen</t>
  </si>
  <si>
    <t>Pour l'effectif : recensement des formations
 Hypothèse d'un taux d'entrée sur le march du travail élevé car peu de possibilités de poursuite d'étude</t>
  </si>
  <si>
    <t>Taux d'entrée sur le marché du travail</t>
  </si>
  <si>
    <t>Données du Cariforef des Pays de la Loire</t>
  </si>
  <si>
    <t>Effectif régional faible (&lt;10 places)</t>
  </si>
  <si>
    <t xml:space="preserve">Effectif régional faible </t>
  </si>
  <si>
    <t>&lt;5</t>
  </si>
  <si>
    <t xml:space="preserve">Valeur inconnue </t>
  </si>
  <si>
    <t xml:space="preserve">On a deux profils différents pour cette activité
</t>
  </si>
  <si>
    <t>Pour la conception, les Licenses professionnelles sont le plus recherché</t>
  </si>
  <si>
    <t xml:space="preserve">En conception, l'activité est séparée en deux blocs de compétences : test et essai, et automatismes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</si>
</sst>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Arial"/>
      <family val="2"/>
      <scheme val="minor"/>
    </font>
    <font>
      <sz val="11"/>
      <color theme="1"/>
      <name val="Arial"/>
      <family val="2"/>
      <scheme val="minor"/>
    </font>
    <font>
      <b/>
      <sz val="11"/>
      <color theme="1"/>
      <name val="Arial"/>
      <family val="2"/>
      <scheme val="minor"/>
    </font>
    <font>
      <sz val="8"/>
      <name val="Arial"/>
      <family val="2"/>
      <scheme val="minor"/>
    </font>
    <font>
      <sz val="11"/>
      <color theme="2"/>
      <name val="Arial"/>
      <family val="2"/>
      <scheme val="minor"/>
    </font>
    <font>
      <sz val="11"/>
      <name val="Arial"/>
      <family val="2"/>
      <scheme val="minor"/>
    </font>
    <font>
      <sz val="11"/>
      <color theme="1"/>
      <name val="Calibri"/>
      <family val="2"/>
    </font>
    <font>
      <sz val="9"/>
      <color indexed="81"/>
      <name val="Tahoma"/>
      <family val="2"/>
    </font>
    <font>
      <b/>
      <sz val="9"/>
      <color indexed="81"/>
      <name val="Tahoma"/>
      <family val="2"/>
    </font>
    <font>
      <b/>
      <sz val="11"/>
      <name val="Arial"/>
      <family val="2"/>
      <scheme val="minor"/>
    </font>
    <font>
      <sz val="11"/>
      <color rgb="FF202124"/>
      <name val="Arial"/>
      <family val="2"/>
      <scheme val="minor"/>
    </font>
    <font>
      <i/>
      <sz val="11"/>
      <color theme="1"/>
      <name val="Arial"/>
      <family val="2"/>
      <scheme val="minor"/>
    </font>
    <font>
      <b/>
      <sz val="11"/>
      <color rgb="FF202124"/>
      <name val="Arial"/>
      <family val="2"/>
      <scheme val="minor"/>
    </font>
    <font>
      <i/>
      <sz val="11"/>
      <color rgb="FF202124"/>
      <name val="Arial"/>
      <family val="2"/>
      <scheme val="minor"/>
    </font>
    <font>
      <b/>
      <sz val="12"/>
      <color theme="1"/>
      <name val="Arial"/>
      <family val="2"/>
      <scheme val="minor"/>
    </font>
    <font>
      <b/>
      <i/>
      <sz val="11"/>
      <color theme="1"/>
      <name val="Arial"/>
      <family val="2"/>
      <scheme val="minor"/>
    </font>
    <font>
      <sz val="14"/>
      <color rgb="FF383838"/>
      <name val="Arial"/>
      <family val="2"/>
      <scheme val="minor"/>
    </font>
    <font>
      <sz val="14"/>
      <color rgb="FF202124"/>
      <name val="Arial"/>
      <family val="2"/>
      <scheme val="minor"/>
    </font>
    <font>
      <b/>
      <sz val="11"/>
      <color theme="4" tint="-0.499984740745262"/>
      <name val="Arial"/>
      <family val="2"/>
      <scheme val="minor"/>
    </font>
    <font>
      <b/>
      <i/>
      <sz val="11"/>
      <color theme="4"/>
      <name val="Calibri"/>
      <family val="2"/>
    </font>
    <font>
      <b/>
      <sz val="10"/>
      <color theme="4" tint="-0.499984740745262"/>
      <name val="Calibri"/>
      <family val="2"/>
    </font>
    <font>
      <i/>
      <sz val="10"/>
      <color rgb="FF757070"/>
      <name val="Calibri"/>
      <family val="2"/>
    </font>
    <font>
      <sz val="11"/>
      <color rgb="FF8EAADB"/>
      <name val="Calibri"/>
      <family val="2"/>
    </font>
    <font>
      <b/>
      <sz val="9"/>
      <color rgb="FF757070"/>
      <name val="Calibri"/>
      <family val="2"/>
    </font>
    <font>
      <sz val="11"/>
      <color rgb="FF757070"/>
      <name val="Calibri"/>
      <family val="2"/>
    </font>
    <font>
      <sz val="9"/>
      <color rgb="FF757070"/>
      <name val="Calibri"/>
      <family val="2"/>
    </font>
    <font>
      <sz val="11"/>
      <color theme="4"/>
      <name val="Arial"/>
      <family val="2"/>
      <scheme val="minor"/>
    </font>
    <font>
      <i/>
      <sz val="11"/>
      <color rgb="FF757070"/>
      <name val="Calibri Light"/>
      <family val="2"/>
    </font>
    <font>
      <i/>
      <sz val="10"/>
      <color theme="0"/>
      <name val="Calibri"/>
      <family val="2"/>
    </font>
    <font>
      <i/>
      <sz val="10"/>
      <color theme="4"/>
      <name val="Calibri"/>
      <family val="2"/>
    </font>
    <font>
      <i/>
      <sz val="11"/>
      <color rgb="FF757070"/>
      <name val="Calibri"/>
      <family val="2"/>
    </font>
    <font>
      <b/>
      <sz val="11"/>
      <color rgb="FF757070"/>
      <name val="Calibri Light"/>
      <family val="2"/>
    </font>
    <font>
      <sz val="11"/>
      <color rgb="FF757070"/>
      <name val="Calibri Light"/>
      <family val="2"/>
    </font>
    <font>
      <sz val="11"/>
      <color theme="6"/>
      <name val="Calibri Light"/>
      <family val="2"/>
    </font>
    <font>
      <sz val="11"/>
      <name val="Arial"/>
      <family val="2"/>
    </font>
    <font>
      <b/>
      <i/>
      <sz val="11"/>
      <color rgb="FFFF0000"/>
      <name val="Calibri Light"/>
      <family val="2"/>
    </font>
    <font>
      <b/>
      <sz val="11"/>
      <color rgb="FFFF0000"/>
      <name val="Calibri Light"/>
      <family val="2"/>
    </font>
    <font>
      <sz val="12"/>
      <color theme="1"/>
      <name val="Arial"/>
      <family val="2"/>
      <scheme val="minor"/>
    </font>
    <font>
      <sz val="11"/>
      <color theme="4" tint="-0.499984740745262"/>
      <name val="Arial"/>
      <family val="2"/>
      <scheme val="minor"/>
    </font>
    <font>
      <sz val="14"/>
      <color theme="4" tint="-0.499984740745262"/>
      <name val="Arial"/>
      <family val="2"/>
      <scheme val="minor"/>
    </font>
    <font>
      <b/>
      <sz val="14"/>
      <color theme="4" tint="-0.499984740745262"/>
      <name val="Arial"/>
      <family val="2"/>
      <scheme val="minor"/>
    </font>
    <font>
      <b/>
      <sz val="18"/>
      <name val="Arial"/>
      <family val="2"/>
      <scheme val="minor"/>
    </font>
    <font>
      <b/>
      <sz val="18"/>
      <color theme="4" tint="-0.499984740745262"/>
      <name val="Arial"/>
      <family val="2"/>
      <scheme val="minor"/>
    </font>
    <font>
      <sz val="9"/>
      <color indexed="81"/>
      <name val="Tahoma"/>
      <charset val="1"/>
    </font>
    <font>
      <sz val="14"/>
      <color theme="1"/>
      <name val="Arial"/>
      <family val="2"/>
      <scheme val="minor"/>
    </font>
    <font>
      <i/>
      <sz val="14"/>
      <color theme="1"/>
      <name val="Arial"/>
      <family val="2"/>
      <scheme val="minor"/>
    </font>
    <font>
      <b/>
      <sz val="9"/>
      <color indexed="81"/>
      <name val="Tahoma"/>
      <charset val="1"/>
    </font>
    <font>
      <i/>
      <sz val="11"/>
      <name val="Arial"/>
      <family val="2"/>
      <scheme val="minor"/>
    </font>
    <font>
      <u/>
      <sz val="11"/>
      <color theme="10"/>
      <name val="Arial"/>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4" tint="-0.499984740745262"/>
        <bgColor indexed="64"/>
      </patternFill>
    </fill>
    <fill>
      <patternFill patternType="solid">
        <fgColor rgb="FFECECEC"/>
        <bgColor rgb="FFECECEC"/>
      </patternFill>
    </fill>
    <fill>
      <patternFill patternType="solid">
        <fgColor theme="6"/>
        <bgColor indexed="64"/>
      </patternFill>
    </fill>
    <fill>
      <patternFill patternType="solid">
        <fgColor theme="7"/>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9"/>
        <bgColor indexed="64"/>
      </patternFill>
    </fill>
    <fill>
      <patternFill patternType="solid">
        <fgColor theme="8"/>
        <bgColor rgb="FFECECEC"/>
      </patternFill>
    </fill>
    <fill>
      <patternFill patternType="solid">
        <fgColor theme="9"/>
        <bgColor rgb="FFECECEC"/>
      </patternFill>
    </fill>
    <fill>
      <patternFill patternType="solid">
        <fgColor theme="2"/>
        <bgColor rgb="FFECECEC"/>
      </patternFill>
    </fill>
    <fill>
      <patternFill patternType="solid">
        <fgColor rgb="FFFFE2E1"/>
        <bgColor indexed="64"/>
      </patternFill>
    </fill>
    <fill>
      <patternFill patternType="solid">
        <fgColor theme="9" tint="0.79998168889431442"/>
        <bgColor indexed="65"/>
      </patternFill>
    </fill>
    <fill>
      <patternFill patternType="solid">
        <fgColor theme="2"/>
        <bgColor theme="0"/>
      </patternFill>
    </fill>
  </fills>
  <borders count="37">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rgb="FF000000"/>
      </left>
      <right style="thin">
        <color rgb="FF000000"/>
      </right>
      <top style="thin">
        <color rgb="FF000000"/>
      </top>
      <bottom style="thin">
        <color rgb="FF000000"/>
      </bottom>
      <diagonal/>
    </border>
    <border>
      <left/>
      <right style="thin">
        <color theme="7" tint="-0.499984740745262"/>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top style="thin">
        <color theme="7"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7" tint="-0.499984740745262"/>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7" tint="-0.499984740745262"/>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style="thin">
        <color theme="2"/>
      </right>
      <top style="thin">
        <color theme="2"/>
      </top>
      <bottom style="thin">
        <color theme="2"/>
      </bottom>
      <diagonal/>
    </border>
    <border>
      <left style="thin">
        <color theme="6"/>
      </left>
      <right style="thin">
        <color theme="6"/>
      </right>
      <top style="thin">
        <color theme="6"/>
      </top>
      <bottom style="thin">
        <color theme="6"/>
      </bottom>
      <diagonal/>
    </border>
    <border>
      <left/>
      <right/>
      <top/>
      <bottom style="thin">
        <color indexed="64"/>
      </bottom>
      <diagonal/>
    </border>
    <border>
      <left style="thin">
        <color rgb="FF000000"/>
      </left>
      <right style="thin">
        <color rgb="FF000000"/>
      </right>
      <top/>
      <bottom style="thin">
        <color rgb="FF000000"/>
      </bottom>
      <diagonal/>
    </border>
    <border>
      <left/>
      <right/>
      <top/>
      <bottom style="thick">
        <color theme="4" tint="-0.499984740745262"/>
      </bottom>
      <diagonal/>
    </border>
    <border>
      <left/>
      <right style="thin">
        <color theme="7" tint="-0.499984740745262"/>
      </right>
      <top/>
      <bottom style="thin">
        <color indexed="64"/>
      </bottom>
      <diagonal/>
    </border>
  </borders>
  <cellStyleXfs count="4">
    <xf numFmtId="0" fontId="0" fillId="0" borderId="0"/>
    <xf numFmtId="9" fontId="1" fillId="0" borderId="0" applyFont="0" applyFill="0" applyBorder="0" applyAlignment="0" applyProtection="0"/>
    <xf numFmtId="0" fontId="1" fillId="16" borderId="0" applyNumberFormat="0" applyBorder="0" applyAlignment="0" applyProtection="0"/>
    <xf numFmtId="0" fontId="48" fillId="0" borderId="0" applyNumberFormat="0" applyFill="0" applyBorder="0" applyAlignment="0" applyProtection="0"/>
  </cellStyleXfs>
  <cellXfs count="390">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xf numFmtId="1" fontId="2" fillId="0" borderId="0" xfId="0" applyNumberFormat="1" applyFont="1" applyAlignment="1">
      <alignment horizontal="center" vertical="center" wrapText="1"/>
    </xf>
    <xf numFmtId="0" fontId="4" fillId="4" borderId="0" xfId="0" applyFont="1" applyFill="1" applyAlignment="1">
      <alignment horizontal="center" vertical="center" wrapText="1"/>
    </xf>
    <xf numFmtId="0" fontId="0" fillId="4" borderId="0" xfId="0" applyFill="1" applyAlignment="1">
      <alignment horizontal="center" vertical="center" wrapText="1"/>
    </xf>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lignment horizontal="center" vertical="center"/>
    </xf>
    <xf numFmtId="0" fontId="2" fillId="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4" xfId="0" applyBorder="1" applyAlignment="1">
      <alignment horizontal="center" vertical="center" wrapText="1"/>
    </xf>
    <xf numFmtId="1" fontId="2" fillId="0" borderId="4" xfId="0" applyNumberFormat="1" applyFont="1" applyBorder="1" applyAlignment="1">
      <alignment horizontal="center" vertical="center" wrapText="1"/>
    </xf>
    <xf numFmtId="9" fontId="0" fillId="0" borderId="4" xfId="1" applyFont="1" applyBorder="1" applyAlignment="1">
      <alignment horizontal="center" vertical="center" wrapText="1"/>
    </xf>
    <xf numFmtId="0" fontId="0" fillId="0" borderId="4" xfId="0" applyBorder="1"/>
    <xf numFmtId="0" fontId="0" fillId="3" borderId="10" xfId="0" applyFill="1" applyBorder="1" applyAlignment="1">
      <alignment horizontal="center" vertical="center" wrapText="1"/>
    </xf>
    <xf numFmtId="0" fontId="2" fillId="3"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2" fillId="2" borderId="10" xfId="0" applyFont="1" applyFill="1" applyBorder="1" applyAlignment="1">
      <alignment horizontal="center" vertical="center" wrapText="1"/>
    </xf>
    <xf numFmtId="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9" fontId="0" fillId="0" borderId="4" xfId="0" applyNumberFormat="1" applyBorder="1" applyAlignment="1">
      <alignment horizontal="center" vertical="center"/>
    </xf>
    <xf numFmtId="1" fontId="0" fillId="0" borderId="4" xfId="0" applyNumberFormat="1" applyBorder="1" applyAlignment="1">
      <alignment horizontal="center" vertical="center"/>
    </xf>
    <xf numFmtId="0" fontId="0" fillId="2" borderId="12" xfId="0" applyFill="1" applyBorder="1" applyAlignment="1">
      <alignment horizontal="center" vertical="center" wrapText="1"/>
    </xf>
    <xf numFmtId="9" fontId="0" fillId="0" borderId="6" xfId="1"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vertical="center"/>
    </xf>
    <xf numFmtId="9" fontId="0" fillId="0" borderId="4" xfId="1" applyFont="1" applyBorder="1" applyAlignment="1">
      <alignment horizontal="center" vertical="center"/>
    </xf>
    <xf numFmtId="0" fontId="0" fillId="0" borderId="14" xfId="0" applyBorder="1" applyAlignment="1">
      <alignment horizontal="center" vertical="center" wrapText="1"/>
    </xf>
    <xf numFmtId="1" fontId="0" fillId="3" borderId="4" xfId="0" applyNumberFormat="1" applyFill="1" applyBorder="1" applyAlignment="1">
      <alignment horizontal="center" vertical="center" wrapText="1"/>
    </xf>
    <xf numFmtId="9" fontId="5" fillId="3"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 fontId="2" fillId="0" borderId="4" xfId="1" applyNumberFormat="1" applyFont="1" applyBorder="1" applyAlignment="1">
      <alignment horizontal="center" vertical="center"/>
    </xf>
    <xf numFmtId="0" fontId="0" fillId="0" borderId="21" xfId="0" applyBorder="1" applyAlignment="1">
      <alignment horizontal="center" vertical="center" wrapText="1"/>
    </xf>
    <xf numFmtId="1" fontId="2" fillId="0" borderId="4" xfId="0" applyNumberFormat="1" applyFont="1" applyBorder="1" applyAlignment="1">
      <alignment horizontal="center" vertical="center"/>
    </xf>
    <xf numFmtId="0" fontId="2" fillId="0" borderId="7" xfId="0" applyFont="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Alignment="1">
      <alignment horizontal="center" vertical="center"/>
    </xf>
    <xf numFmtId="9" fontId="0" fillId="3" borderId="4" xfId="1" applyFont="1" applyFill="1" applyBorder="1" applyAlignment="1">
      <alignment horizontal="center" vertical="center"/>
    </xf>
    <xf numFmtId="0" fontId="2" fillId="3" borderId="7"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4" xfId="0" applyFill="1" applyBorder="1" applyAlignment="1">
      <alignment horizontal="center" vertical="center" wrapText="1"/>
    </xf>
    <xf numFmtId="9" fontId="0" fillId="3" borderId="4" xfId="0" applyNumberFormat="1" applyFill="1" applyBorder="1" applyAlignment="1">
      <alignment horizontal="center" vertical="center" wrapText="1"/>
    </xf>
    <xf numFmtId="9" fontId="0" fillId="3" borderId="4" xfId="1" applyFont="1" applyFill="1" applyBorder="1" applyAlignment="1">
      <alignment horizontal="center" vertical="center" wrapText="1"/>
    </xf>
    <xf numFmtId="1" fontId="0" fillId="3" borderId="4" xfId="0" applyNumberFormat="1" applyFill="1" applyBorder="1" applyAlignment="1">
      <alignment horizontal="center" vertical="center"/>
    </xf>
    <xf numFmtId="1" fontId="2" fillId="3" borderId="4" xfId="0" applyNumberFormat="1" applyFont="1" applyFill="1" applyBorder="1" applyAlignment="1">
      <alignment horizontal="center" vertical="center" wrapText="1"/>
    </xf>
    <xf numFmtId="9" fontId="0" fillId="3" borderId="6" xfId="1" applyFont="1" applyFill="1" applyBorder="1" applyAlignment="1">
      <alignment horizontal="center" vertical="center" wrapText="1"/>
    </xf>
    <xf numFmtId="1" fontId="2" fillId="3" borderId="4" xfId="0" applyNumberFormat="1" applyFont="1" applyFill="1" applyBorder="1" applyAlignment="1">
      <alignment horizontal="center" vertical="center"/>
    </xf>
    <xf numFmtId="0" fontId="5" fillId="10" borderId="4" xfId="0" applyFont="1" applyFill="1" applyBorder="1" applyAlignment="1">
      <alignment horizontal="center" vertical="center" wrapText="1"/>
    </xf>
    <xf numFmtId="0" fontId="5" fillId="10" borderId="4" xfId="0" applyFont="1" applyFill="1" applyBorder="1" applyAlignment="1">
      <alignment horizontal="center" vertical="center"/>
    </xf>
    <xf numFmtId="9" fontId="5" fillId="10" borderId="4" xfId="1" applyFont="1" applyFill="1" applyBorder="1" applyAlignment="1">
      <alignment horizontal="center" vertical="center"/>
    </xf>
    <xf numFmtId="1" fontId="5" fillId="10" borderId="4" xfId="0" applyNumberFormat="1" applyFont="1" applyFill="1" applyBorder="1" applyAlignment="1">
      <alignment horizontal="center" vertical="center"/>
    </xf>
    <xf numFmtId="1" fontId="5" fillId="10" borderId="4" xfId="0" applyNumberFormat="1" applyFont="1" applyFill="1" applyBorder="1" applyAlignment="1">
      <alignment horizontal="center" vertical="center" wrapText="1"/>
    </xf>
    <xf numFmtId="9" fontId="0" fillId="0" borderId="0" xfId="1" applyFont="1"/>
    <xf numFmtId="0" fontId="0" fillId="0" borderId="4" xfId="0" applyBorder="1" applyAlignment="1">
      <alignment vertical="center"/>
    </xf>
    <xf numFmtId="0" fontId="10"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xf>
    <xf numFmtId="0" fontId="0" fillId="0" borderId="0" xfId="1" applyNumberFormat="1" applyFont="1"/>
    <xf numFmtId="16" fontId="0" fillId="0" borderId="0" xfId="0" applyNumberFormat="1"/>
    <xf numFmtId="0" fontId="5" fillId="10" borderId="13" xfId="0" applyFont="1" applyFill="1" applyBorder="1" applyAlignment="1">
      <alignment horizontal="center" vertical="center" wrapText="1"/>
    </xf>
    <xf numFmtId="1" fontId="0" fillId="0" borderId="0" xfId="0" applyNumberFormat="1"/>
    <xf numFmtId="0" fontId="5" fillId="10" borderId="13" xfId="0" applyFont="1" applyFill="1" applyBorder="1" applyAlignment="1">
      <alignment horizontal="center" vertical="center"/>
    </xf>
    <xf numFmtId="9" fontId="5" fillId="10" borderId="13" xfId="1" applyFont="1" applyFill="1" applyBorder="1" applyAlignment="1">
      <alignment horizontal="center" vertical="center"/>
    </xf>
    <xf numFmtId="1" fontId="5" fillId="10" borderId="13" xfId="0" applyNumberFormat="1" applyFont="1" applyFill="1" applyBorder="1" applyAlignment="1">
      <alignment horizontal="center" vertical="center"/>
    </xf>
    <xf numFmtId="0" fontId="5" fillId="3" borderId="4" xfId="0"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21" xfId="0" applyFill="1" applyBorder="1" applyAlignment="1">
      <alignment horizontal="center" vertical="center" wrapText="1"/>
    </xf>
    <xf numFmtId="9" fontId="5" fillId="3" borderId="13" xfId="1" applyFont="1" applyFill="1" applyBorder="1" applyAlignment="1">
      <alignment horizontal="center" vertical="center"/>
    </xf>
    <xf numFmtId="1" fontId="5" fillId="3" borderId="13" xfId="0" applyNumberFormat="1" applyFont="1" applyFill="1" applyBorder="1" applyAlignment="1">
      <alignment horizontal="center" vertical="center"/>
    </xf>
    <xf numFmtId="1" fontId="5" fillId="11" borderId="4" xfId="0" applyNumberFormat="1" applyFont="1" applyFill="1" applyBorder="1" applyAlignment="1">
      <alignment horizontal="center" vertical="center" wrapText="1"/>
    </xf>
    <xf numFmtId="0" fontId="0" fillId="10" borderId="0" xfId="0" applyFill="1" applyAlignment="1">
      <alignment horizontal="center" vertical="center" wrapText="1"/>
    </xf>
    <xf numFmtId="0" fontId="2" fillId="10" borderId="7"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4" xfId="0" applyFill="1" applyBorder="1" applyAlignment="1">
      <alignment horizontal="center" vertical="center"/>
    </xf>
    <xf numFmtId="9" fontId="0" fillId="10" borderId="4" xfId="1" applyFont="1" applyFill="1" applyBorder="1" applyAlignment="1">
      <alignment horizontal="center" vertical="center"/>
    </xf>
    <xf numFmtId="1" fontId="0" fillId="10" borderId="4" xfId="0" applyNumberFormat="1" applyFill="1" applyBorder="1" applyAlignment="1">
      <alignment horizontal="center" vertical="center"/>
    </xf>
    <xf numFmtId="1" fontId="0" fillId="10" borderId="4" xfId="0" applyNumberFormat="1" applyFill="1" applyBorder="1" applyAlignment="1">
      <alignment horizontal="center" vertical="center" wrapText="1"/>
    </xf>
    <xf numFmtId="9" fontId="0" fillId="3" borderId="14" xfId="1" applyFont="1" applyFill="1" applyBorder="1" applyAlignment="1">
      <alignment horizontal="center" vertical="center"/>
    </xf>
    <xf numFmtId="1" fontId="0" fillId="3" borderId="14" xfId="0" applyNumberFormat="1" applyFill="1" applyBorder="1" applyAlignment="1">
      <alignment horizontal="center" vertical="center"/>
    </xf>
    <xf numFmtId="0" fontId="2" fillId="10" borderId="4" xfId="0" applyFont="1" applyFill="1" applyBorder="1" applyAlignment="1">
      <alignment horizontal="center" vertical="center" wrapText="1"/>
    </xf>
    <xf numFmtId="0" fontId="0" fillId="11" borderId="21" xfId="0" applyFill="1" applyBorder="1" applyAlignment="1">
      <alignment horizontal="center" vertical="center" wrapText="1"/>
    </xf>
    <xf numFmtId="9" fontId="5" fillId="3" borderId="4" xfId="1" applyFont="1" applyFill="1" applyBorder="1" applyAlignment="1">
      <alignment horizontal="center" vertical="center"/>
    </xf>
    <xf numFmtId="0" fontId="4" fillId="6" borderId="4" xfId="0" applyFont="1" applyFill="1" applyBorder="1" applyAlignment="1">
      <alignment horizontal="center" vertical="center"/>
    </xf>
    <xf numFmtId="0" fontId="6" fillId="12" borderId="25" xfId="0" applyFont="1" applyFill="1" applyBorder="1" applyAlignment="1">
      <alignment horizontal="center" vertical="center" wrapText="1"/>
    </xf>
    <xf numFmtId="1" fontId="0" fillId="3" borderId="17" xfId="0" applyNumberFormat="1" applyFill="1" applyBorder="1" applyAlignment="1">
      <alignment horizontal="center" vertical="center"/>
    </xf>
    <xf numFmtId="0" fontId="6" fillId="12" borderId="26" xfId="0" applyFont="1" applyFill="1" applyBorder="1" applyAlignment="1">
      <alignment horizontal="center" vertical="center" wrapText="1"/>
    </xf>
    <xf numFmtId="0" fontId="0" fillId="3" borderId="6" xfId="0" applyFill="1" applyBorder="1" applyAlignment="1">
      <alignment horizontal="center" vertical="center" wrapText="1"/>
    </xf>
    <xf numFmtId="9" fontId="0" fillId="11" borderId="4" xfId="1" applyFont="1" applyFill="1" applyBorder="1" applyAlignment="1">
      <alignment horizontal="center" vertical="center"/>
    </xf>
    <xf numFmtId="1" fontId="0" fillId="11" borderId="4" xfId="0" applyNumberFormat="1" applyFill="1" applyBorder="1" applyAlignment="1">
      <alignment horizontal="center" vertical="center" wrapText="1"/>
    </xf>
    <xf numFmtId="1" fontId="0" fillId="11" borderId="4" xfId="0" applyNumberFormat="1" applyFill="1" applyBorder="1" applyAlignment="1">
      <alignment horizontal="center" vertical="center"/>
    </xf>
    <xf numFmtId="0" fontId="0" fillId="11" borderId="4" xfId="0" applyFill="1" applyBorder="1" applyAlignment="1">
      <alignment horizontal="center" vertical="center"/>
    </xf>
    <xf numFmtId="0" fontId="10" fillId="3" borderId="4" xfId="0" applyFont="1" applyFill="1" applyBorder="1" applyAlignment="1">
      <alignment horizontal="center" vertical="center" wrapText="1"/>
    </xf>
    <xf numFmtId="9" fontId="0" fillId="3" borderId="13" xfId="1" applyFont="1" applyFill="1" applyBorder="1" applyAlignment="1">
      <alignment horizontal="center" vertical="center"/>
    </xf>
    <xf numFmtId="1" fontId="2" fillId="3" borderId="13" xfId="0" applyNumberFormat="1" applyFont="1" applyFill="1" applyBorder="1" applyAlignment="1">
      <alignment horizontal="center" vertical="center"/>
    </xf>
    <xf numFmtId="0" fontId="0" fillId="11" borderId="4" xfId="0" applyFill="1" applyBorder="1" applyAlignment="1">
      <alignment horizontal="center" vertical="center" wrapText="1"/>
    </xf>
    <xf numFmtId="0" fontId="0" fillId="11" borderId="16" xfId="0" applyFill="1" applyBorder="1" applyAlignment="1">
      <alignment horizontal="center" vertical="center" wrapText="1"/>
    </xf>
    <xf numFmtId="0" fontId="6" fillId="13" borderId="4" xfId="0" applyFont="1" applyFill="1" applyBorder="1" applyAlignment="1">
      <alignment horizontal="center" vertical="center" wrapText="1"/>
    </xf>
    <xf numFmtId="0" fontId="6" fillId="14" borderId="4" xfId="0" applyFont="1" applyFill="1" applyBorder="1" applyAlignment="1">
      <alignment horizontal="center" vertical="center" wrapText="1"/>
    </xf>
    <xf numFmtId="1" fontId="2" fillId="10" borderId="4" xfId="0" applyNumberFormat="1" applyFont="1" applyFill="1" applyBorder="1" applyAlignment="1">
      <alignment horizontal="center" vertical="center"/>
    </xf>
    <xf numFmtId="0" fontId="6" fillId="14" borderId="4" xfId="0" applyFont="1" applyFill="1" applyBorder="1"/>
    <xf numFmtId="0" fontId="0" fillId="10" borderId="13" xfId="0" applyFill="1" applyBorder="1" applyAlignment="1">
      <alignment horizontal="center" vertical="center" wrapText="1"/>
    </xf>
    <xf numFmtId="0" fontId="0" fillId="10" borderId="21" xfId="0" applyFill="1" applyBorder="1" applyAlignment="1">
      <alignment horizontal="center" vertical="center" wrapText="1"/>
    </xf>
    <xf numFmtId="1" fontId="0" fillId="10" borderId="17" xfId="0" applyNumberFormat="1" applyFill="1" applyBorder="1" applyAlignment="1">
      <alignment horizontal="center" vertical="center"/>
    </xf>
    <xf numFmtId="0" fontId="0" fillId="10" borderId="5" xfId="0" applyFill="1" applyBorder="1" applyAlignment="1">
      <alignment horizontal="center" vertical="center" wrapText="1"/>
    </xf>
    <xf numFmtId="9" fontId="0" fillId="10" borderId="13" xfId="1" applyFont="1" applyFill="1" applyBorder="1" applyAlignment="1">
      <alignment horizontal="center" vertical="center"/>
    </xf>
    <xf numFmtId="1" fontId="0" fillId="10" borderId="22" xfId="0" applyNumberFormat="1" applyFill="1" applyBorder="1" applyAlignment="1">
      <alignment horizontal="center" vertical="center"/>
    </xf>
    <xf numFmtId="1" fontId="0" fillId="10" borderId="13" xfId="0" applyNumberFormat="1" applyFill="1" applyBorder="1" applyAlignment="1">
      <alignment horizontal="center" vertical="center" wrapText="1"/>
    </xf>
    <xf numFmtId="1" fontId="2" fillId="10" borderId="13" xfId="0" applyNumberFormat="1" applyFont="1" applyFill="1" applyBorder="1" applyAlignment="1">
      <alignment horizontal="center" vertical="center"/>
    </xf>
    <xf numFmtId="1" fontId="0" fillId="10" borderId="13" xfId="0" applyNumberFormat="1" applyFill="1" applyBorder="1" applyAlignment="1">
      <alignment horizontal="center" vertical="center"/>
    </xf>
    <xf numFmtId="0" fontId="0" fillId="10" borderId="13" xfId="0" applyFill="1" applyBorder="1" applyAlignment="1">
      <alignment horizontal="center" vertical="center"/>
    </xf>
    <xf numFmtId="0" fontId="10" fillId="3" borderId="4" xfId="0" applyFont="1" applyFill="1" applyBorder="1" applyAlignment="1">
      <alignment horizontal="justify" vertical="center"/>
    </xf>
    <xf numFmtId="0" fontId="6" fillId="12" borderId="4" xfId="0" applyFont="1" applyFill="1" applyBorder="1" applyAlignment="1">
      <alignment horizontal="center" vertical="center" wrapText="1"/>
    </xf>
    <xf numFmtId="0" fontId="0" fillId="0" borderId="13" xfId="0" applyBorder="1" applyAlignment="1">
      <alignment horizontal="center" vertical="center"/>
    </xf>
    <xf numFmtId="0" fontId="0" fillId="3" borderId="4" xfId="0" applyFill="1" applyBorder="1"/>
    <xf numFmtId="1" fontId="0" fillId="3" borderId="13" xfId="0" applyNumberFormat="1" applyFill="1" applyBorder="1" applyAlignment="1">
      <alignment horizontal="center" vertical="center"/>
    </xf>
    <xf numFmtId="0" fontId="0" fillId="2" borderId="0" xfId="0" applyFill="1"/>
    <xf numFmtId="1" fontId="0" fillId="3" borderId="13" xfId="0" applyNumberFormat="1" applyFill="1" applyBorder="1" applyAlignment="1">
      <alignment horizontal="center" vertical="center" wrapText="1"/>
    </xf>
    <xf numFmtId="0" fontId="0" fillId="2" borderId="6" xfId="0" applyFill="1" applyBorder="1" applyAlignment="1">
      <alignment horizontal="center" vertical="center" wrapText="1"/>
    </xf>
    <xf numFmtId="9" fontId="0" fillId="10" borderId="6" xfId="1" applyFont="1" applyFill="1" applyBorder="1" applyAlignment="1">
      <alignment horizontal="center" vertical="center"/>
    </xf>
    <xf numFmtId="0" fontId="0" fillId="11" borderId="4" xfId="0" applyFill="1" applyBorder="1"/>
    <xf numFmtId="0" fontId="0" fillId="11" borderId="13" xfId="0" applyFill="1" applyBorder="1" applyAlignment="1">
      <alignment horizontal="center" vertical="center" wrapText="1"/>
    </xf>
    <xf numFmtId="0" fontId="0" fillId="11" borderId="0" xfId="0" applyFill="1"/>
    <xf numFmtId="0" fontId="16" fillId="0" borderId="0" xfId="0" applyFont="1" applyAlignment="1">
      <alignment horizontal="center" vertical="center" readingOrder="1"/>
    </xf>
    <xf numFmtId="0" fontId="17" fillId="0" borderId="0" xfId="0" applyFont="1" applyAlignment="1">
      <alignment horizontal="justify" vertical="center" readingOrder="1"/>
    </xf>
    <xf numFmtId="0" fontId="0" fillId="0" borderId="4" xfId="0" applyBorder="1" applyAlignment="1">
      <alignment horizontal="left" vertical="center" wrapText="1"/>
    </xf>
    <xf numFmtId="1" fontId="2" fillId="11" borderId="4" xfId="0" applyNumberFormat="1"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vertical="center"/>
    </xf>
    <xf numFmtId="9" fontId="0" fillId="0" borderId="4" xfId="1" applyFont="1" applyFill="1" applyBorder="1" applyAlignment="1">
      <alignment horizontal="center" vertical="center"/>
    </xf>
    <xf numFmtId="0" fontId="0" fillId="0" borderId="0" xfId="0" applyAlignment="1">
      <alignment horizontal="center"/>
    </xf>
    <xf numFmtId="0" fontId="2" fillId="0" borderId="13" xfId="0" applyFont="1" applyBorder="1" applyAlignment="1">
      <alignment horizontal="center" vertical="center"/>
    </xf>
    <xf numFmtId="0" fontId="6" fillId="13" borderId="4" xfId="0" applyFont="1" applyFill="1" applyBorder="1" applyAlignment="1">
      <alignment horizontal="center" vertical="center"/>
    </xf>
    <xf numFmtId="9" fontId="0" fillId="3" borderId="6" xfId="1" applyFont="1" applyFill="1" applyBorder="1" applyAlignment="1">
      <alignment horizontal="center" vertical="center"/>
    </xf>
    <xf numFmtId="0" fontId="11" fillId="0" borderId="4" xfId="0" applyFont="1" applyBorder="1" applyAlignment="1">
      <alignment horizontal="center" vertical="center" wrapText="1"/>
    </xf>
    <xf numFmtId="9" fontId="0" fillId="3" borderId="4" xfId="0" applyNumberFormat="1" applyFill="1" applyBorder="1" applyAlignment="1">
      <alignment horizontal="center" vertical="center"/>
    </xf>
    <xf numFmtId="0" fontId="6" fillId="12" borderId="2" xfId="0" applyFont="1" applyFill="1" applyBorder="1" applyAlignment="1">
      <alignment horizontal="center" vertical="center"/>
    </xf>
    <xf numFmtId="0" fontId="2" fillId="11" borderId="13" xfId="0" applyFont="1" applyFill="1" applyBorder="1" applyAlignment="1">
      <alignment horizontal="center" vertical="center" wrapText="1"/>
    </xf>
    <xf numFmtId="0" fontId="0" fillId="0" borderId="0" xfId="0" applyAlignment="1">
      <alignment horizontal="center" vertical="center"/>
    </xf>
    <xf numFmtId="1" fontId="2" fillId="0" borderId="13" xfId="1" applyNumberFormat="1" applyFont="1" applyBorder="1" applyAlignment="1">
      <alignment horizontal="center" vertical="center"/>
    </xf>
    <xf numFmtId="9" fontId="1" fillId="0" borderId="4" xfId="1" applyFont="1" applyBorder="1" applyAlignment="1">
      <alignment horizontal="center" vertical="center"/>
    </xf>
    <xf numFmtId="0" fontId="0" fillId="0" borderId="0" xfId="0" applyAlignment="1">
      <alignment vertical="center" wrapText="1"/>
    </xf>
    <xf numFmtId="0" fontId="1" fillId="16" borderId="0" xfId="2"/>
    <xf numFmtId="0" fontId="1" fillId="16" borderId="0" xfId="2" applyBorder="1"/>
    <xf numFmtId="0" fontId="19" fillId="17" borderId="0" xfId="0" applyFont="1" applyFill="1"/>
    <xf numFmtId="0" fontId="6" fillId="17" borderId="0" xfId="0" applyFont="1" applyFill="1"/>
    <xf numFmtId="0" fontId="20" fillId="17" borderId="0" xfId="0" applyFont="1" applyFill="1"/>
    <xf numFmtId="0" fontId="21" fillId="17" borderId="0" xfId="0" applyFont="1" applyFill="1" applyAlignment="1">
      <alignment vertical="center" wrapText="1"/>
    </xf>
    <xf numFmtId="0" fontId="20" fillId="0" borderId="0" xfId="0" applyFont="1"/>
    <xf numFmtId="0" fontId="22" fillId="17" borderId="0" xfId="0" applyFont="1" applyFill="1"/>
    <xf numFmtId="0" fontId="23" fillId="17" borderId="0" xfId="0" applyFont="1" applyFill="1"/>
    <xf numFmtId="0" fontId="24" fillId="17" borderId="0" xfId="0" applyFont="1" applyFill="1"/>
    <xf numFmtId="0" fontId="25" fillId="17" borderId="0" xfId="0" applyFont="1" applyFill="1"/>
    <xf numFmtId="0" fontId="25" fillId="17" borderId="0" xfId="0" applyFont="1" applyFill="1" applyAlignment="1">
      <alignment horizontal="left" vertical="top"/>
    </xf>
    <xf numFmtId="0" fontId="19" fillId="0" borderId="0" xfId="0" applyFont="1"/>
    <xf numFmtId="0" fontId="26" fillId="16" borderId="0" xfId="2" applyFont="1" applyAlignment="1">
      <alignment vertical="center" wrapText="1"/>
    </xf>
    <xf numFmtId="0" fontId="1" fillId="16" borderId="0" xfId="2" applyAlignment="1">
      <alignment vertical="center" wrapText="1"/>
    </xf>
    <xf numFmtId="0" fontId="21" fillId="0" borderId="31" xfId="0" applyFont="1" applyBorder="1" applyAlignment="1">
      <alignment horizontal="left" vertical="top" wrapText="1"/>
    </xf>
    <xf numFmtId="0" fontId="21" fillId="0" borderId="31" xfId="0" applyFont="1" applyBorder="1" applyAlignment="1">
      <alignment vertical="center" wrapText="1"/>
    </xf>
    <xf numFmtId="0" fontId="19" fillId="0" borderId="31" xfId="0" applyFont="1" applyBorder="1"/>
    <xf numFmtId="0" fontId="0" fillId="15" borderId="32" xfId="0" applyFill="1" applyBorder="1"/>
    <xf numFmtId="0" fontId="28" fillId="0" borderId="31" xfId="0" applyFont="1" applyBorder="1" applyAlignment="1">
      <alignment horizontal="left" vertical="top"/>
    </xf>
    <xf numFmtId="0" fontId="29" fillId="0" borderId="31" xfId="0" applyFont="1" applyBorder="1" applyAlignment="1">
      <alignment horizontal="left" vertical="top"/>
    </xf>
    <xf numFmtId="0" fontId="6" fillId="0" borderId="31" xfId="0" applyFont="1" applyBorder="1"/>
    <xf numFmtId="0" fontId="30" fillId="0" borderId="31" xfId="0" applyFont="1" applyBorder="1" applyAlignment="1">
      <alignment vertical="center" wrapText="1"/>
    </xf>
    <xf numFmtId="9" fontId="0" fillId="15" borderId="32" xfId="1" applyFont="1" applyFill="1" applyBorder="1" applyAlignment="1">
      <alignment horizontal="center" vertical="center"/>
    </xf>
    <xf numFmtId="0" fontId="2" fillId="10" borderId="4" xfId="0" applyFont="1" applyFill="1" applyBorder="1" applyAlignment="1">
      <alignment horizontal="center"/>
    </xf>
    <xf numFmtId="0" fontId="2" fillId="10" borderId="0" xfId="0" applyFont="1" applyFill="1" applyAlignment="1">
      <alignment horizontal="center"/>
    </xf>
    <xf numFmtId="0" fontId="18" fillId="10" borderId="0" xfId="0" applyFont="1" applyFill="1" applyAlignment="1">
      <alignment horizontal="center" vertical="center"/>
    </xf>
    <xf numFmtId="0" fontId="0" fillId="10" borderId="0" xfId="0" applyFill="1"/>
    <xf numFmtId="9" fontId="0" fillId="10" borderId="0" xfId="0" applyNumberFormat="1" applyFill="1"/>
    <xf numFmtId="1" fontId="0" fillId="10" borderId="0" xfId="0" applyNumberFormat="1" applyFill="1" applyAlignment="1">
      <alignment horizontal="center" vertical="center" wrapText="1"/>
    </xf>
    <xf numFmtId="0" fontId="18" fillId="10" borderId="4"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10" borderId="0" xfId="0" applyFont="1" applyFill="1" applyAlignment="1">
      <alignment horizontal="center" vertical="center" wrapText="1"/>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11" borderId="4" xfId="0" applyFont="1" applyFill="1" applyBorder="1" applyAlignment="1">
      <alignment horizontal="center" vertical="center" wrapText="1"/>
    </xf>
    <xf numFmtId="1" fontId="2" fillId="11" borderId="4" xfId="0" applyNumberFormat="1" applyFont="1" applyFill="1" applyBorder="1" applyAlignment="1">
      <alignment horizontal="center" vertical="center"/>
    </xf>
    <xf numFmtId="9" fontId="0" fillId="11" borderId="0" xfId="0" applyNumberFormat="1" applyFill="1" applyAlignment="1">
      <alignment horizontal="center" vertical="center"/>
    </xf>
    <xf numFmtId="0" fontId="0" fillId="11" borderId="23" xfId="0" applyFill="1" applyBorder="1" applyAlignment="1">
      <alignment horizontal="center" vertical="center" wrapText="1"/>
    </xf>
    <xf numFmtId="0" fontId="0" fillId="11" borderId="13" xfId="0" applyFill="1" applyBorder="1" applyAlignment="1">
      <alignment horizontal="center" vertical="center"/>
    </xf>
    <xf numFmtId="9" fontId="0" fillId="11" borderId="13" xfId="1" applyFont="1" applyFill="1" applyBorder="1" applyAlignment="1">
      <alignment horizontal="center" vertical="center"/>
    </xf>
    <xf numFmtId="1" fontId="2" fillId="11" borderId="13" xfId="0" applyNumberFormat="1" applyFont="1" applyFill="1" applyBorder="1" applyAlignment="1">
      <alignment horizontal="center" vertical="center"/>
    </xf>
    <xf numFmtId="1" fontId="0" fillId="11" borderId="13" xfId="0" applyNumberFormat="1" applyFill="1" applyBorder="1" applyAlignment="1">
      <alignment horizontal="center" vertical="center"/>
    </xf>
    <xf numFmtId="0" fontId="0" fillId="11" borderId="0" xfId="0" applyFill="1" applyAlignment="1">
      <alignment horizontal="center" vertical="center" wrapText="1"/>
    </xf>
    <xf numFmtId="9" fontId="0" fillId="10" borderId="4" xfId="0" applyNumberFormat="1" applyFill="1" applyBorder="1" applyAlignment="1">
      <alignment horizontal="center" vertical="center" wrapText="1"/>
    </xf>
    <xf numFmtId="1" fontId="2" fillId="10" borderId="4" xfId="0" applyNumberFormat="1" applyFont="1" applyFill="1" applyBorder="1" applyAlignment="1">
      <alignment horizontal="center" vertical="center" wrapText="1"/>
    </xf>
    <xf numFmtId="9" fontId="0" fillId="10" borderId="4" xfId="1" applyFont="1" applyFill="1" applyBorder="1" applyAlignment="1">
      <alignment horizontal="center" vertical="center" wrapText="1"/>
    </xf>
    <xf numFmtId="9" fontId="0" fillId="10" borderId="6" xfId="1" applyFont="1" applyFill="1" applyBorder="1" applyAlignment="1">
      <alignment horizontal="center" vertical="center" wrapText="1"/>
    </xf>
    <xf numFmtId="0" fontId="10" fillId="3" borderId="16" xfId="0" applyFont="1" applyFill="1" applyBorder="1" applyAlignment="1">
      <alignment horizontal="center" vertical="center" wrapText="1"/>
    </xf>
    <xf numFmtId="1" fontId="0" fillId="10" borderId="4" xfId="1" applyNumberFormat="1" applyFont="1" applyFill="1" applyBorder="1" applyAlignment="1">
      <alignment horizontal="center" vertical="center" wrapText="1"/>
    </xf>
    <xf numFmtId="1" fontId="0" fillId="10" borderId="4" xfId="1" applyNumberFormat="1" applyFont="1" applyFill="1" applyBorder="1" applyAlignment="1">
      <alignment horizontal="center" vertical="center"/>
    </xf>
    <xf numFmtId="1" fontId="2" fillId="10" borderId="4" xfId="1" applyNumberFormat="1" applyFont="1" applyFill="1" applyBorder="1" applyAlignment="1">
      <alignment horizontal="center" vertical="center"/>
    </xf>
    <xf numFmtId="1" fontId="2" fillId="3" borderId="4" xfId="1" applyNumberFormat="1" applyFont="1" applyFill="1" applyBorder="1" applyAlignment="1">
      <alignment horizontal="center" vertical="center"/>
    </xf>
    <xf numFmtId="0" fontId="2" fillId="10" borderId="13" xfId="0"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1" fontId="0" fillId="0" borderId="4" xfId="0" applyNumberFormat="1" applyBorder="1"/>
    <xf numFmtId="0" fontId="0" fillId="0" borderId="6" xfId="0" applyBorder="1" applyAlignment="1">
      <alignment horizontal="center" vertical="center" wrapText="1"/>
    </xf>
    <xf numFmtId="1" fontId="0" fillId="11" borderId="13" xfId="0" applyNumberFormat="1" applyFill="1" applyBorder="1" applyAlignment="1">
      <alignment horizontal="center" vertical="center" wrapText="1"/>
    </xf>
    <xf numFmtId="1" fontId="0" fillId="11" borderId="22" xfId="0" applyNumberFormat="1" applyFill="1" applyBorder="1" applyAlignment="1">
      <alignment horizontal="center" vertical="center" wrapText="1"/>
    </xf>
    <xf numFmtId="1" fontId="2" fillId="11" borderId="13" xfId="0" applyNumberFormat="1" applyFont="1" applyFill="1" applyBorder="1" applyAlignment="1">
      <alignment horizontal="center" vertical="center" wrapText="1"/>
    </xf>
    <xf numFmtId="9" fontId="0" fillId="11" borderId="13" xfId="1" applyFont="1" applyFill="1" applyBorder="1" applyAlignment="1">
      <alignment horizontal="center" vertical="center" wrapText="1"/>
    </xf>
    <xf numFmtId="9" fontId="0" fillId="11" borderId="23" xfId="1" applyFont="1" applyFill="1" applyBorder="1" applyAlignment="1">
      <alignment horizontal="center" vertical="center" wrapText="1"/>
    </xf>
    <xf numFmtId="1" fontId="2" fillId="3" borderId="14" xfId="0" applyNumberFormat="1" applyFont="1" applyFill="1" applyBorder="1" applyAlignment="1">
      <alignment horizontal="center" vertical="center"/>
    </xf>
    <xf numFmtId="9" fontId="0" fillId="10" borderId="4" xfId="0" applyNumberFormat="1" applyFill="1" applyBorder="1" applyAlignment="1">
      <alignment horizontal="center" vertical="center"/>
    </xf>
    <xf numFmtId="1" fontId="0" fillId="3" borderId="4" xfId="0" applyNumberFormat="1" applyFill="1" applyBorder="1"/>
    <xf numFmtId="1" fontId="0" fillId="3" borderId="13" xfId="0" applyNumberFormat="1" applyFill="1" applyBorder="1"/>
    <xf numFmtId="0" fontId="0" fillId="10" borderId="4" xfId="0" applyFill="1" applyBorder="1" applyAlignment="1">
      <alignment horizontal="left" vertical="top" wrapText="1"/>
    </xf>
    <xf numFmtId="0" fontId="0" fillId="10" borderId="4" xfId="0" applyFill="1" applyBorder="1" applyAlignment="1">
      <alignment vertical="top" wrapText="1"/>
    </xf>
    <xf numFmtId="0" fontId="0" fillId="0" borderId="4" xfId="0" applyBorder="1" applyAlignment="1">
      <alignment horizontal="left" vertical="top" wrapText="1"/>
    </xf>
    <xf numFmtId="0" fontId="10" fillId="3" borderId="14" xfId="0" applyFont="1" applyFill="1" applyBorder="1" applyAlignment="1">
      <alignment horizontal="center" vertical="center" wrapText="1"/>
    </xf>
    <xf numFmtId="0" fontId="0" fillId="10" borderId="14" xfId="0" applyFill="1" applyBorder="1" applyAlignment="1">
      <alignment horizontal="center" vertical="center" wrapText="1"/>
    </xf>
    <xf numFmtId="0" fontId="0" fillId="0" borderId="13" xfId="0" applyBorder="1" applyAlignment="1">
      <alignment horizontal="center" vertical="center" wrapText="1"/>
    </xf>
    <xf numFmtId="0" fontId="6" fillId="14" borderId="13" xfId="0" applyFont="1" applyFill="1" applyBorder="1" applyAlignment="1">
      <alignment horizontal="center" vertical="center" wrapText="1"/>
    </xf>
    <xf numFmtId="9" fontId="0" fillId="0" borderId="14" xfId="1" applyFont="1" applyBorder="1" applyAlignment="1">
      <alignment horizontal="center" vertical="center"/>
    </xf>
    <xf numFmtId="1" fontId="0" fillId="0" borderId="14" xfId="0" applyNumberFormat="1" applyBorder="1" applyAlignment="1">
      <alignment horizontal="center" vertical="center"/>
    </xf>
    <xf numFmtId="1" fontId="0" fillId="0" borderId="14" xfId="0" applyNumberFormat="1" applyBorder="1" applyAlignment="1">
      <alignment horizontal="center" vertical="center" wrapText="1"/>
    </xf>
    <xf numFmtId="1" fontId="2" fillId="0" borderId="14" xfId="0" applyNumberFormat="1" applyFont="1" applyBorder="1" applyAlignment="1">
      <alignment horizontal="center" vertical="center"/>
    </xf>
    <xf numFmtId="0" fontId="0" fillId="0" borderId="14" xfId="0" applyBorder="1" applyAlignment="1">
      <alignment horizontal="center" vertical="center"/>
    </xf>
    <xf numFmtId="0" fontId="9" fillId="2" borderId="6" xfId="0" applyFont="1" applyFill="1" applyBorder="1" applyAlignment="1">
      <alignment vertical="center" wrapText="1"/>
    </xf>
    <xf numFmtId="0" fontId="9" fillId="2" borderId="17" xfId="0" applyFont="1" applyFill="1" applyBorder="1" applyAlignment="1">
      <alignment vertical="center" wrapText="1"/>
    </xf>
    <xf numFmtId="1" fontId="0" fillId="0" borderId="0" xfId="0" applyNumberFormat="1" applyAlignment="1">
      <alignment horizontal="center" vertical="center" wrapText="1"/>
    </xf>
    <xf numFmtId="1" fontId="0" fillId="0" borderId="0" xfId="0" applyNumberFormat="1" applyAlignment="1">
      <alignment horizontal="center" vertical="center"/>
    </xf>
    <xf numFmtId="0" fontId="9" fillId="2" borderId="4" xfId="0" applyFont="1" applyFill="1" applyBorder="1" applyAlignment="1">
      <alignment vertical="center" wrapText="1"/>
    </xf>
    <xf numFmtId="0" fontId="9" fillId="10" borderId="0" xfId="0" applyFont="1" applyFill="1" applyAlignment="1">
      <alignment vertical="center" wrapText="1"/>
    </xf>
    <xf numFmtId="1" fontId="37" fillId="0" borderId="6" xfId="0" applyNumberFormat="1" applyFont="1" applyBorder="1" applyAlignment="1">
      <alignment horizontal="center" vertical="center"/>
    </xf>
    <xf numFmtId="1" fontId="37" fillId="3" borderId="6" xfId="0" applyNumberFormat="1" applyFont="1" applyFill="1" applyBorder="1" applyAlignment="1">
      <alignment horizontal="center" vertical="center"/>
    </xf>
    <xf numFmtId="1" fontId="0" fillId="3" borderId="22" xfId="0" applyNumberFormat="1" applyFill="1" applyBorder="1" applyAlignment="1">
      <alignment horizontal="center" vertical="center"/>
    </xf>
    <xf numFmtId="0" fontId="6" fillId="12" borderId="27" xfId="0" applyFont="1" applyFill="1" applyBorder="1" applyAlignment="1">
      <alignment horizontal="center" vertical="center" wrapText="1"/>
    </xf>
    <xf numFmtId="0" fontId="6" fillId="12" borderId="0" xfId="0" applyFont="1" applyFill="1" applyAlignment="1">
      <alignment horizontal="center" vertical="center" wrapText="1"/>
    </xf>
    <xf numFmtId="1" fontId="0" fillId="10" borderId="14" xfId="1" applyNumberFormat="1" applyFont="1" applyFill="1" applyBorder="1" applyAlignment="1">
      <alignment horizontal="center" vertical="center" wrapText="1"/>
    </xf>
    <xf numFmtId="9" fontId="0" fillId="10" borderId="14" xfId="1" applyFont="1" applyFill="1" applyBorder="1" applyAlignment="1">
      <alignment horizontal="center" vertical="center" wrapText="1"/>
    </xf>
    <xf numFmtId="1" fontId="0" fillId="10" borderId="14" xfId="0" applyNumberFormat="1" applyFill="1" applyBorder="1" applyAlignment="1">
      <alignment horizontal="center" vertical="center" wrapText="1"/>
    </xf>
    <xf numFmtId="0" fontId="2" fillId="10" borderId="14" xfId="0"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1" fontId="0" fillId="10" borderId="14" xfId="1" applyNumberFormat="1" applyFont="1" applyFill="1" applyBorder="1" applyAlignment="1">
      <alignment horizontal="center" vertical="center"/>
    </xf>
    <xf numFmtId="1" fontId="2" fillId="10" borderId="14" xfId="1" applyNumberFormat="1" applyFont="1" applyFill="1" applyBorder="1" applyAlignment="1">
      <alignment horizontal="center" vertical="center"/>
    </xf>
    <xf numFmtId="9" fontId="0" fillId="10" borderId="21" xfId="1" applyFont="1" applyFill="1" applyBorder="1" applyAlignment="1">
      <alignment horizontal="center" vertical="center"/>
    </xf>
    <xf numFmtId="9" fontId="5" fillId="0" borderId="13" xfId="0" applyNumberFormat="1" applyFont="1" applyBorder="1" applyAlignment="1">
      <alignment horizontal="center" vertical="center" wrapText="1"/>
    </xf>
    <xf numFmtId="1" fontId="0" fillId="0" borderId="13" xfId="0" applyNumberFormat="1" applyBorder="1" applyAlignment="1">
      <alignment horizontal="center" vertical="center" wrapText="1"/>
    </xf>
    <xf numFmtId="1" fontId="2" fillId="0" borderId="13" xfId="0" applyNumberFormat="1" applyFont="1" applyBorder="1" applyAlignment="1">
      <alignment horizontal="center" vertical="center" wrapText="1"/>
    </xf>
    <xf numFmtId="9" fontId="0" fillId="0" borderId="13" xfId="1" applyFont="1" applyBorder="1" applyAlignment="1">
      <alignment horizontal="center" vertical="center" wrapText="1"/>
    </xf>
    <xf numFmtId="9" fontId="0" fillId="0" borderId="23" xfId="1" applyFont="1" applyFill="1" applyBorder="1" applyAlignment="1">
      <alignment horizontal="center" vertical="center"/>
    </xf>
    <xf numFmtId="0" fontId="2" fillId="3" borderId="14" xfId="0" applyFont="1" applyFill="1" applyBorder="1" applyAlignment="1">
      <alignment horizontal="center" vertical="center" wrapText="1"/>
    </xf>
    <xf numFmtId="1" fontId="0" fillId="3" borderId="14" xfId="0" applyNumberFormat="1" applyFill="1" applyBorder="1" applyAlignment="1">
      <alignment horizontal="center" vertical="center" wrapText="1"/>
    </xf>
    <xf numFmtId="1" fontId="2" fillId="3" borderId="14" xfId="0" applyNumberFormat="1" applyFont="1" applyFill="1" applyBorder="1" applyAlignment="1">
      <alignment horizontal="center" vertical="center" wrapText="1"/>
    </xf>
    <xf numFmtId="1" fontId="0" fillId="0" borderId="13" xfId="0" applyNumberFormat="1" applyBorder="1" applyAlignment="1">
      <alignment horizontal="center" vertical="center"/>
    </xf>
    <xf numFmtId="0" fontId="6" fillId="5" borderId="34" xfId="0" applyFont="1" applyFill="1" applyBorder="1" applyAlignment="1">
      <alignment horizontal="center" vertical="center" wrapText="1"/>
    </xf>
    <xf numFmtId="0" fontId="2" fillId="0" borderId="13" xfId="0" applyFont="1" applyBorder="1" applyAlignment="1">
      <alignment horizontal="center" vertical="center" wrapText="1"/>
    </xf>
    <xf numFmtId="9" fontId="0" fillId="0" borderId="13" xfId="1" applyFont="1" applyBorder="1" applyAlignment="1">
      <alignment horizontal="center" vertical="center"/>
    </xf>
    <xf numFmtId="0" fontId="0" fillId="0" borderId="13" xfId="0" applyBorder="1"/>
    <xf numFmtId="0" fontId="2" fillId="0" borderId="14" xfId="0" applyFont="1" applyBorder="1" applyAlignment="1">
      <alignment horizontal="center" vertical="center" wrapText="1"/>
    </xf>
    <xf numFmtId="1" fontId="2" fillId="0" borderId="14" xfId="1" applyNumberFormat="1" applyFont="1" applyBorder="1" applyAlignment="1">
      <alignment horizontal="center" vertical="center"/>
    </xf>
    <xf numFmtId="1" fontId="2" fillId="10" borderId="13" xfId="0" applyNumberFormat="1" applyFont="1" applyFill="1" applyBorder="1" applyAlignment="1">
      <alignment horizontal="center" vertical="center" wrapText="1"/>
    </xf>
    <xf numFmtId="0" fontId="2" fillId="10" borderId="0" xfId="0" applyFont="1" applyFill="1" applyAlignment="1">
      <alignment vertical="center"/>
    </xf>
    <xf numFmtId="9" fontId="0" fillId="3" borderId="21" xfId="1" applyFont="1" applyFill="1" applyBorder="1" applyAlignment="1">
      <alignment horizontal="center" vertical="center"/>
    </xf>
    <xf numFmtId="9" fontId="0" fillId="0" borderId="6" xfId="1" applyFont="1" applyBorder="1" applyAlignment="1">
      <alignment horizontal="center" vertical="center"/>
    </xf>
    <xf numFmtId="1" fontId="9" fillId="10" borderId="4" xfId="0" applyNumberFormat="1" applyFont="1" applyFill="1" applyBorder="1" applyAlignment="1">
      <alignment horizontal="center" vertical="center"/>
    </xf>
    <xf numFmtId="9" fontId="5" fillId="10" borderId="6" xfId="1" applyFont="1" applyFill="1" applyBorder="1" applyAlignment="1">
      <alignment horizontal="center" vertical="center"/>
    </xf>
    <xf numFmtId="1" fontId="5"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9" fontId="5" fillId="3" borderId="6" xfId="1" applyFont="1" applyFill="1" applyBorder="1" applyAlignment="1">
      <alignment horizontal="center" vertical="center"/>
    </xf>
    <xf numFmtId="9" fontId="5" fillId="11" borderId="4" xfId="1" applyFont="1" applyFill="1" applyBorder="1" applyAlignment="1">
      <alignment horizontal="center" vertical="center"/>
    </xf>
    <xf numFmtId="1" fontId="5" fillId="11" borderId="4" xfId="0" applyNumberFormat="1" applyFont="1" applyFill="1" applyBorder="1" applyAlignment="1">
      <alignment horizontal="center" vertical="center"/>
    </xf>
    <xf numFmtId="1" fontId="9" fillId="11" borderId="4" xfId="0" applyNumberFormat="1" applyFont="1" applyFill="1" applyBorder="1" applyAlignment="1">
      <alignment horizontal="center" vertical="center"/>
    </xf>
    <xf numFmtId="9" fontId="5" fillId="11" borderId="6" xfId="1" applyFont="1" applyFill="1" applyBorder="1" applyAlignment="1">
      <alignment horizontal="center" vertical="center"/>
    </xf>
    <xf numFmtId="9" fontId="0" fillId="3" borderId="23" xfId="1" applyFont="1" applyFill="1" applyBorder="1" applyAlignment="1">
      <alignment horizontal="center" vertical="center"/>
    </xf>
    <xf numFmtId="9" fontId="0" fillId="10" borderId="23" xfId="1" applyFont="1" applyFill="1" applyBorder="1" applyAlignment="1">
      <alignment horizontal="center" vertical="center"/>
    </xf>
    <xf numFmtId="0" fontId="0" fillId="15" borderId="4" xfId="0" applyFill="1" applyBorder="1" applyAlignment="1">
      <alignment horizontal="center" vertical="center"/>
    </xf>
    <xf numFmtId="0" fontId="0" fillId="10" borderId="0" xfId="0" applyFill="1" applyAlignment="1">
      <alignment vertical="center" wrapText="1"/>
    </xf>
    <xf numFmtId="0" fontId="44" fillId="0" borderId="0" xfId="0" applyFont="1"/>
    <xf numFmtId="0" fontId="48" fillId="0" borderId="0" xfId="3"/>
    <xf numFmtId="9" fontId="0" fillId="0" borderId="0" xfId="1" applyFont="1" applyBorder="1"/>
    <xf numFmtId="9" fontId="0" fillId="11" borderId="4" xfId="1" applyFont="1" applyFill="1" applyBorder="1" applyAlignment="1">
      <alignment horizontal="center" vertical="center" wrapText="1"/>
    </xf>
    <xf numFmtId="9" fontId="0" fillId="11" borderId="23" xfId="1" applyFont="1" applyFill="1" applyBorder="1" applyAlignment="1">
      <alignment horizontal="center" vertical="center"/>
    </xf>
    <xf numFmtId="9" fontId="18" fillId="0" borderId="0" xfId="1" applyFont="1" applyAlignment="1">
      <alignment horizontal="center" vertical="center"/>
    </xf>
    <xf numFmtId="15" fontId="27" fillId="0" borderId="28" xfId="0" applyNumberFormat="1" applyFont="1" applyBorder="1" applyAlignment="1">
      <alignment horizontal="left" vertical="top" wrapText="1"/>
    </xf>
    <xf numFmtId="15" fontId="27" fillId="0" borderId="29" xfId="0" applyNumberFormat="1" applyFont="1" applyBorder="1" applyAlignment="1">
      <alignment horizontal="left" vertical="top" wrapText="1"/>
    </xf>
    <xf numFmtId="15" fontId="27" fillId="0" borderId="30" xfId="0" applyNumberFormat="1" applyFont="1" applyBorder="1" applyAlignment="1">
      <alignment horizontal="left" vertical="top" wrapText="1"/>
    </xf>
    <xf numFmtId="0" fontId="21" fillId="17" borderId="0" xfId="0" applyFont="1" applyFill="1" applyAlignment="1">
      <alignment horizontal="left" vertical="top" wrapText="1"/>
    </xf>
    <xf numFmtId="0" fontId="25" fillId="17" borderId="0" xfId="0" applyFont="1" applyFill="1" applyAlignment="1">
      <alignment horizontal="left" vertical="top" wrapText="1"/>
    </xf>
    <xf numFmtId="15" fontId="27" fillId="0" borderId="0" xfId="0" applyNumberFormat="1" applyFont="1" applyAlignment="1">
      <alignment horizontal="left" vertical="top" wrapText="1"/>
    </xf>
    <xf numFmtId="0" fontId="34" fillId="0" borderId="0" xfId="0" applyFont="1"/>
    <xf numFmtId="0" fontId="0" fillId="0" borderId="0" xfId="0"/>
    <xf numFmtId="15" fontId="48" fillId="0" borderId="28" xfId="3" applyNumberFormat="1" applyBorder="1" applyAlignment="1">
      <alignment horizontal="left" vertical="top"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10" borderId="33" xfId="0" applyFill="1" applyBorder="1" applyAlignment="1">
      <alignment horizontal="center" vertical="center" wrapText="1"/>
    </xf>
    <xf numFmtId="0" fontId="2" fillId="2" borderId="4" xfId="0" applyFont="1" applyFill="1" applyBorder="1" applyAlignment="1">
      <alignment horizontal="center"/>
    </xf>
    <xf numFmtId="0" fontId="2" fillId="2" borderId="4" xfId="0" applyFont="1" applyFill="1" applyBorder="1" applyAlignment="1">
      <alignment horizontal="left"/>
    </xf>
    <xf numFmtId="9" fontId="18" fillId="10" borderId="0" xfId="1" applyFont="1" applyFill="1" applyAlignment="1">
      <alignment horizontal="center"/>
    </xf>
    <xf numFmtId="0" fontId="18" fillId="10" borderId="4" xfId="0" applyFont="1" applyFill="1" applyBorder="1" applyAlignment="1">
      <alignment horizontal="center" vertical="center"/>
    </xf>
    <xf numFmtId="0" fontId="0" fillId="7" borderId="4" xfId="0" applyFill="1" applyBorder="1" applyAlignment="1">
      <alignment horizontal="center" vertical="center"/>
    </xf>
    <xf numFmtId="0" fontId="4" fillId="4"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9" fillId="2" borderId="6" xfId="0" applyFont="1" applyFill="1" applyBorder="1" applyAlignment="1">
      <alignment horizontal="left"/>
    </xf>
    <xf numFmtId="0" fontId="9" fillId="2" borderId="17" xfId="0" applyFont="1" applyFill="1" applyBorder="1" applyAlignment="1">
      <alignment horizontal="left"/>
    </xf>
    <xf numFmtId="0" fontId="9" fillId="2" borderId="7" xfId="0" applyFont="1" applyFill="1" applyBorder="1" applyAlignment="1">
      <alignment horizontal="left"/>
    </xf>
    <xf numFmtId="0" fontId="9" fillId="2" borderId="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8" fillId="0" borderId="22" xfId="0" applyFont="1" applyBorder="1" applyAlignment="1">
      <alignment horizontal="left" vertical="top" wrapText="1"/>
    </xf>
    <xf numFmtId="0" fontId="18" fillId="0" borderId="0" xfId="0" applyFont="1" applyAlignment="1">
      <alignment horizontal="left" vertical="top" wrapText="1"/>
    </xf>
    <xf numFmtId="0" fontId="2" fillId="2" borderId="6" xfId="0" applyFont="1" applyFill="1" applyBorder="1" applyAlignment="1">
      <alignment horizontal="left" vertical="center"/>
    </xf>
    <xf numFmtId="0" fontId="2" fillId="2" borderId="17" xfId="0" applyFont="1" applyFill="1" applyBorder="1" applyAlignment="1">
      <alignment horizontal="left" vertical="center"/>
    </xf>
    <xf numFmtId="0" fontId="2" fillId="7" borderId="4" xfId="0" applyFont="1" applyFill="1" applyBorder="1" applyAlignment="1">
      <alignment horizontal="center" vertical="center" wrapText="1"/>
    </xf>
    <xf numFmtId="0" fontId="2" fillId="2" borderId="4" xfId="0" applyFont="1" applyFill="1" applyBorder="1" applyAlignment="1">
      <alignment horizontal="left" vertical="center"/>
    </xf>
    <xf numFmtId="0" fontId="18" fillId="0" borderId="0" xfId="0" applyFont="1" applyAlignment="1">
      <alignment horizontal="center"/>
    </xf>
    <xf numFmtId="0" fontId="4" fillId="6" borderId="4" xfId="0" applyFont="1" applyFill="1" applyBorder="1" applyAlignment="1">
      <alignment horizontal="center" vertical="center" wrapText="1"/>
    </xf>
    <xf numFmtId="0" fontId="18" fillId="0" borderId="0" xfId="0" applyFont="1" applyAlignment="1">
      <alignment horizontal="center" vertical="center" wrapText="1"/>
    </xf>
    <xf numFmtId="0" fontId="38" fillId="0" borderId="0" xfId="0" applyFont="1" applyAlignment="1">
      <alignment horizontal="center" vertical="center" wrapText="1"/>
    </xf>
    <xf numFmtId="0" fontId="38" fillId="0" borderId="33" xfId="0" applyFont="1" applyBorder="1" applyAlignment="1">
      <alignment horizontal="center" vertical="center" wrapText="1"/>
    </xf>
    <xf numFmtId="0" fontId="0" fillId="7" borderId="4"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3" borderId="1" xfId="0" applyFill="1" applyBorder="1" applyAlignment="1">
      <alignment horizontal="center" vertical="center" wrapText="1"/>
    </xf>
    <xf numFmtId="0" fontId="0" fillId="7" borderId="13" xfId="0" applyFill="1" applyBorder="1" applyAlignment="1">
      <alignment horizontal="center" vertical="center"/>
    </xf>
    <xf numFmtId="0" fontId="0" fillId="7" borderId="16" xfId="0" applyFill="1" applyBorder="1" applyAlignment="1">
      <alignment horizontal="center" vertical="center"/>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0" fontId="0" fillId="8" borderId="3" xfId="0" applyFill="1" applyBorder="1" applyAlignment="1">
      <alignment horizontal="center" vertical="center" wrapText="1"/>
    </xf>
    <xf numFmtId="0" fontId="0" fillId="8" borderId="36"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4" xfId="0"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33"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6" xfId="0"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16" xfId="0" applyBorder="1" applyAlignment="1">
      <alignment horizontal="center" vertical="center" wrapText="1"/>
    </xf>
    <xf numFmtId="0" fontId="0" fillId="10" borderId="4"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4" xfId="0" applyFill="1" applyBorder="1" applyAlignment="1">
      <alignment horizontal="center" vertical="center" wrapText="1"/>
    </xf>
    <xf numFmtId="0" fontId="0" fillId="3" borderId="14" xfId="0" applyFill="1" applyBorder="1" applyAlignment="1">
      <alignment horizontal="center" vertical="center"/>
    </xf>
    <xf numFmtId="0" fontId="2" fillId="2" borderId="4" xfId="0" applyFont="1" applyFill="1" applyBorder="1" applyAlignment="1">
      <alignment horizontal="left" vertical="center" wrapText="1"/>
    </xf>
    <xf numFmtId="0" fontId="0" fillId="0" borderId="4" xfId="0" applyBorder="1" applyAlignment="1">
      <alignment horizontal="center" vertical="center" wrapText="1"/>
    </xf>
    <xf numFmtId="0" fontId="10" fillId="10" borderId="14" xfId="0" applyFont="1" applyFill="1" applyBorder="1" applyAlignment="1">
      <alignment horizontal="center" vertical="center" wrapText="1"/>
    </xf>
    <xf numFmtId="0" fontId="0" fillId="0" borderId="4" xfId="0" applyBorder="1" applyAlignment="1">
      <alignment horizontal="center" vertical="center"/>
    </xf>
    <xf numFmtId="0" fontId="0" fillId="11" borderId="4" xfId="0" applyFill="1" applyBorder="1" applyAlignment="1">
      <alignment horizontal="center" vertical="center"/>
    </xf>
    <xf numFmtId="0" fontId="0" fillId="3" borderId="9" xfId="0" applyFill="1" applyBorder="1" applyAlignment="1">
      <alignment horizontal="center" vertical="center" wrapText="1"/>
    </xf>
    <xf numFmtId="0" fontId="4" fillId="4"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0" fillId="3" borderId="4" xfId="0" applyFill="1" applyBorder="1" applyAlignment="1">
      <alignment horizontal="center" vertical="center"/>
    </xf>
    <xf numFmtId="0" fontId="2" fillId="9" borderId="0" xfId="0" applyFont="1" applyFill="1" applyAlignment="1">
      <alignment horizontal="center" vertical="center" wrapText="1"/>
    </xf>
    <xf numFmtId="0" fontId="2" fillId="9" borderId="33" xfId="0" applyFont="1" applyFill="1" applyBorder="1" applyAlignment="1">
      <alignment horizontal="center" vertical="center" wrapText="1"/>
    </xf>
    <xf numFmtId="0" fontId="0" fillId="2" borderId="4" xfId="0" applyFill="1" applyBorder="1" applyAlignment="1">
      <alignment horizontal="left" vertical="center" wrapText="1"/>
    </xf>
    <xf numFmtId="0" fontId="0" fillId="0" borderId="4" xfId="0" applyBorder="1" applyAlignment="1">
      <alignment horizontal="center"/>
    </xf>
    <xf numFmtId="0" fontId="0" fillId="3" borderId="1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2" fillId="2" borderId="4" xfId="0" applyFont="1" applyFill="1" applyBorder="1" applyAlignment="1">
      <alignment horizontal="center" vertical="center" wrapText="1"/>
    </xf>
  </cellXfs>
  <cellStyles count="4">
    <cellStyle name="20 % - Accent6" xfId="2" builtinId="50"/>
    <cellStyle name="Lien hypertexte" xfId="3" builtinId="8"/>
    <cellStyle name="Normal" xfId="0" builtinId="0"/>
    <cellStyle name="Pourcentage" xfId="1" builtinId="5"/>
  </cellStyles>
  <dxfs count="14">
    <dxf>
      <fill>
        <patternFill>
          <bgColor rgb="FFFFFF00"/>
        </patternFill>
      </fill>
    </dxf>
    <dxf>
      <font>
        <color rgb="FF9C0006"/>
      </font>
    </dxf>
    <dxf>
      <font>
        <color rgb="FF006100"/>
      </font>
      <fill>
        <patternFill>
          <bgColor rgb="FFC6EFCE"/>
        </patternFill>
      </fill>
    </dxf>
    <dxf>
      <fill>
        <patternFill>
          <bgColor rgb="FFFFFF99"/>
        </patternFill>
      </fill>
    </dxf>
    <dxf>
      <font>
        <color rgb="FF006100"/>
      </font>
      <fill>
        <patternFill>
          <bgColor rgb="FFC6EFCE"/>
        </patternFill>
      </fill>
    </dxf>
    <dxf>
      <fill>
        <patternFill>
          <bgColor rgb="FFFFFF99"/>
        </patternFill>
      </fill>
    </dxf>
    <dxf>
      <font>
        <color rgb="FF006100"/>
      </font>
      <fill>
        <patternFill>
          <bgColor rgb="FFC6EFCE"/>
        </patternFill>
      </fill>
    </dxf>
    <dxf>
      <fill>
        <patternFill>
          <bgColor rgb="FFFFFF99"/>
        </patternFill>
      </fill>
    </dxf>
    <dxf>
      <font>
        <color rgb="FF006100"/>
      </font>
      <fill>
        <patternFill>
          <bgColor rgb="FFC6EFCE"/>
        </patternFill>
      </fill>
    </dxf>
    <dxf>
      <fill>
        <patternFill>
          <bgColor rgb="FFFFFF99"/>
        </patternFill>
      </fill>
    </dxf>
    <dxf>
      <font>
        <color rgb="FF006100"/>
      </font>
      <fill>
        <patternFill>
          <bgColor rgb="FFC6EFCE"/>
        </patternFill>
      </fill>
    </dxf>
    <dxf>
      <fill>
        <patternFill>
          <bgColor rgb="FFFFFF99"/>
        </patternFill>
      </fill>
    </dxf>
    <dxf>
      <font>
        <color rgb="FF006100"/>
      </font>
      <fill>
        <patternFill>
          <bgColor rgb="FFC6EFCE"/>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5</xdr:row>
      <xdr:rowOff>66675</xdr:rowOff>
    </xdr:from>
    <xdr:to>
      <xdr:col>10</xdr:col>
      <xdr:colOff>46939</xdr:colOff>
      <xdr:row>6</xdr:row>
      <xdr:rowOff>114008</xdr:rowOff>
    </xdr:to>
    <xdr:pic>
      <xdr:nvPicPr>
        <xdr:cNvPr id="2" name="Image 1">
          <a:extLst>
            <a:ext uri="{FF2B5EF4-FFF2-40B4-BE49-F238E27FC236}">
              <a16:creationId xmlns:a16="http://schemas.microsoft.com/office/drawing/2014/main" id="{3C740041-C58C-49AB-B862-19C2E8669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7225" y="425450"/>
          <a:ext cx="2114921" cy="231483"/>
        </a:xfrm>
        <a:prstGeom prst="rect">
          <a:avLst/>
        </a:prstGeom>
      </xdr:spPr>
    </xdr:pic>
    <xdr:clientData/>
  </xdr:twoCellAnchor>
  <xdr:twoCellAnchor editAs="oneCell">
    <xdr:from>
      <xdr:col>4</xdr:col>
      <xdr:colOff>87232</xdr:colOff>
      <xdr:row>4</xdr:row>
      <xdr:rowOff>74412</xdr:rowOff>
    </xdr:from>
    <xdr:to>
      <xdr:col>5</xdr:col>
      <xdr:colOff>183496</xdr:colOff>
      <xdr:row>6</xdr:row>
      <xdr:rowOff>19321</xdr:rowOff>
    </xdr:to>
    <xdr:pic>
      <xdr:nvPicPr>
        <xdr:cNvPr id="3" name="Picture 2">
          <a:extLst>
            <a:ext uri="{FF2B5EF4-FFF2-40B4-BE49-F238E27FC236}">
              <a16:creationId xmlns:a16="http://schemas.microsoft.com/office/drawing/2014/main" id="{1DEE4A4C-6A9B-4798-AC4E-5FE8E78AE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1607" y="255387"/>
          <a:ext cx="1113321" cy="306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247650</xdr:colOff>
      <xdr:row>4</xdr:row>
      <xdr:rowOff>50166</xdr:rowOff>
    </xdr:from>
    <xdr:to>
      <xdr:col>3</xdr:col>
      <xdr:colOff>408131</xdr:colOff>
      <xdr:row>6</xdr:row>
      <xdr:rowOff>93322</xdr:rowOff>
    </xdr:to>
    <xdr:pic>
      <xdr:nvPicPr>
        <xdr:cNvPr id="4" name="Picture 6" descr="NANTES UNIVERSITÉ - Université Jules Verne">
          <a:extLst>
            <a:ext uri="{FF2B5EF4-FFF2-40B4-BE49-F238E27FC236}">
              <a16:creationId xmlns:a16="http://schemas.microsoft.com/office/drawing/2014/main" id="{3CCB4465-7121-4F43-88E0-C90D30259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227966"/>
          <a:ext cx="1184192" cy="408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511953</xdr:colOff>
      <xdr:row>3</xdr:row>
      <xdr:rowOff>114300</xdr:rowOff>
    </xdr:from>
    <xdr:to>
      <xdr:col>1</xdr:col>
      <xdr:colOff>370524</xdr:colOff>
      <xdr:row>6</xdr:row>
      <xdr:rowOff>75283</xdr:rowOff>
    </xdr:to>
    <xdr:pic>
      <xdr:nvPicPr>
        <xdr:cNvPr id="5" name="Picture 8" descr="Pays de la Loire — Wikipédia">
          <a:extLst>
            <a:ext uri="{FF2B5EF4-FFF2-40B4-BE49-F238E27FC236}">
              <a16:creationId xmlns:a16="http://schemas.microsoft.com/office/drawing/2014/main" id="{6FD2B3CD-3636-4195-B24A-F34D830F20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1953" y="114300"/>
          <a:ext cx="875932" cy="50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749300</xdr:colOff>
      <xdr:row>4</xdr:row>
      <xdr:rowOff>28575</xdr:rowOff>
    </xdr:from>
    <xdr:to>
      <xdr:col>6</xdr:col>
      <xdr:colOff>694974</xdr:colOff>
      <xdr:row>6</xdr:row>
      <xdr:rowOff>112752</xdr:rowOff>
    </xdr:to>
    <xdr:pic>
      <xdr:nvPicPr>
        <xdr:cNvPr id="6" name="Picture 4" descr="L'innovation au Mans : entreprises, entrepreneurs et projets innovants !">
          <a:extLst>
            <a:ext uri="{FF2B5EF4-FFF2-40B4-BE49-F238E27FC236}">
              <a16:creationId xmlns:a16="http://schemas.microsoft.com/office/drawing/2014/main" id="{959994B2-2D1E-4AC0-8876-7BC3CC53BA3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19650" y="206375"/>
          <a:ext cx="954267" cy="44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lène PIGNE" id="{BE56C82A-6671-456D-8CC6-F9799526678A}" userId="S::solene.pigne@sia-partners.com::5d0e3edd-78a8-4304-a964-a2ab66b8733c" providerId="AD"/>
</personList>
</file>

<file path=xl/theme/theme1.xml><?xml version="1.0" encoding="utf-8"?>
<a:theme xmlns:a="http://schemas.openxmlformats.org/drawingml/2006/main" name="Thème SIA">
  <a:themeElements>
    <a:clrScheme name="Personnalisé 2">
      <a:dk1>
        <a:srgbClr val="1A1A1A"/>
      </a:dk1>
      <a:lt1>
        <a:srgbClr val="383838"/>
      </a:lt1>
      <a:dk2>
        <a:srgbClr val="6A6A6A"/>
      </a:dk2>
      <a:lt2>
        <a:srgbClr val="FFFFFF"/>
      </a:lt2>
      <a:accent1>
        <a:srgbClr val="1DE9B6"/>
      </a:accent1>
      <a:accent2>
        <a:srgbClr val="383838"/>
      </a:accent2>
      <a:accent3>
        <a:srgbClr val="6A6A6A"/>
      </a:accent3>
      <a:accent4>
        <a:srgbClr val="E0E0E0"/>
      </a:accent4>
      <a:accent5>
        <a:srgbClr val="F4F4F4"/>
      </a:accent5>
      <a:accent6>
        <a:srgbClr val="FFFFFF"/>
      </a:accent6>
      <a:hlink>
        <a:srgbClr val="383838"/>
      </a:hlink>
      <a:folHlink>
        <a:srgbClr val="1A1A1A"/>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ème SIA" id="{744D9B5B-8E65-4C23-B4B7-3C3F97CEA42A}" vid="{0D564A8F-5387-4764-B6BD-376408B41483}"/>
    </a:ext>
  </a:extLst>
</a:theme>
</file>

<file path=xl/threadedComments/threadedComment1.xml><?xml version="1.0" encoding="utf-8"?>
<ThreadedComments xmlns="http://schemas.microsoft.com/office/spreadsheetml/2018/threadedcomments" xmlns:x="http://schemas.openxmlformats.org/spreadsheetml/2006/main">
  <threadedComment ref="M4" dT="2023-03-17T17:27:52.97" personId="{BE56C82A-6671-456D-8CC6-F9799526678A}" id="{BE407B65-6EE6-4AEA-A583-138176A1731B}">
    <text>Veut dire qu'il faut plus de place? Ou on table sur un développement des formations? Intégrer un taux de croissance?</text>
  </threadedComment>
  <threadedComment ref="M4" dT="2023-03-17T17:33:24.46" personId="{BE56C82A-6671-456D-8CC6-F9799526678A}" id="{D5A95AA4-C7E8-4AD9-B72A-A827DFE721A4}" parentId="{BE407B65-6EE6-4AEA-A583-138176A1731B}">
    <text>Signifie besoin de formation continue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hoisirmonmetier-paysdelaloire.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seignementsup-recherche.gouv.fr/fr/l-insertion-professionnelle-des-diplomes-2019-de-licence-professionnelle-atteint-95-au-1er-decembre-8734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7DC0-C211-4296-817F-FEFD5037F5B7}">
  <dimension ref="A4:K34"/>
  <sheetViews>
    <sheetView showGridLines="0" topLeftCell="A26" zoomScale="90" zoomScaleNormal="90" workbookViewId="0">
      <selection activeCell="A33" sqref="A33:K33"/>
    </sheetView>
  </sheetViews>
  <sheetFormatPr baseColWidth="10" defaultRowHeight="14" x14ac:dyDescent="0.3"/>
  <cols>
    <col min="1" max="8" width="13.33203125" customWidth="1"/>
  </cols>
  <sheetData>
    <row r="4" spans="1:11" x14ac:dyDescent="0.3">
      <c r="A4" s="144"/>
      <c r="B4" s="144"/>
      <c r="C4" s="144"/>
      <c r="D4" s="144"/>
      <c r="E4" s="144"/>
      <c r="F4" s="144"/>
      <c r="G4" s="144"/>
      <c r="H4" s="144"/>
      <c r="I4" s="145"/>
      <c r="J4" s="145"/>
      <c r="K4" s="145"/>
    </row>
    <row r="5" spans="1:11" x14ac:dyDescent="0.3">
      <c r="A5" s="144"/>
      <c r="B5" s="144"/>
      <c r="C5" s="144"/>
      <c r="D5" s="144"/>
      <c r="E5" s="144"/>
      <c r="F5" s="144"/>
      <c r="G5" s="144"/>
      <c r="H5" s="144"/>
      <c r="I5" s="145"/>
      <c r="J5" s="145"/>
      <c r="K5" s="145"/>
    </row>
    <row r="6" spans="1:11" x14ac:dyDescent="0.3">
      <c r="A6" s="144"/>
      <c r="B6" s="144"/>
      <c r="C6" s="144"/>
      <c r="D6" s="144"/>
      <c r="E6" s="144"/>
      <c r="F6" s="144"/>
      <c r="G6" s="144"/>
      <c r="H6" s="144"/>
      <c r="I6" s="145"/>
      <c r="J6" s="145"/>
      <c r="K6" s="145"/>
    </row>
    <row r="7" spans="1:11" x14ac:dyDescent="0.3">
      <c r="A7" s="144"/>
      <c r="B7" s="144"/>
      <c r="C7" s="144"/>
      <c r="D7" s="144"/>
      <c r="E7" s="144"/>
      <c r="F7" s="144"/>
      <c r="G7" s="144"/>
      <c r="H7" s="144"/>
      <c r="I7" s="145"/>
      <c r="J7" s="145"/>
      <c r="K7" s="145"/>
    </row>
    <row r="8" spans="1:11" ht="14.5" x14ac:dyDescent="0.35">
      <c r="A8" s="146" t="s">
        <v>222</v>
      </c>
      <c r="B8" s="147"/>
      <c r="C8" s="147"/>
      <c r="D8" s="147"/>
      <c r="E8" s="146"/>
      <c r="F8" s="147"/>
      <c r="G8" s="147"/>
      <c r="H8" s="146" t="s">
        <v>223</v>
      </c>
      <c r="I8" s="146"/>
      <c r="J8" s="147"/>
      <c r="K8" s="147"/>
    </row>
    <row r="9" spans="1:11" ht="14.5" x14ac:dyDescent="0.35">
      <c r="A9" s="148" t="s">
        <v>224</v>
      </c>
      <c r="B9" s="149"/>
      <c r="C9" s="149"/>
      <c r="D9" s="147"/>
      <c r="E9" s="150" t="s">
        <v>225</v>
      </c>
      <c r="F9" s="151"/>
      <c r="G9" s="151"/>
      <c r="H9" s="286" t="s">
        <v>226</v>
      </c>
      <c r="I9" s="286"/>
      <c r="J9" s="286"/>
      <c r="K9" s="286"/>
    </row>
    <row r="10" spans="1:11" ht="14.5" x14ac:dyDescent="0.35">
      <c r="A10" s="152" t="s">
        <v>227</v>
      </c>
      <c r="B10" s="149"/>
      <c r="C10" s="149"/>
      <c r="D10" s="147"/>
      <c r="E10" s="152" t="s">
        <v>228</v>
      </c>
      <c r="F10" s="153"/>
      <c r="G10" s="153"/>
      <c r="H10" s="286"/>
      <c r="I10" s="286"/>
      <c r="J10" s="286"/>
      <c r="K10" s="286"/>
    </row>
    <row r="11" spans="1:11" ht="14.5" x14ac:dyDescent="0.35">
      <c r="A11" s="154" t="s">
        <v>229</v>
      </c>
      <c r="B11" s="149"/>
      <c r="C11" s="149"/>
      <c r="D11" s="147"/>
      <c r="E11" s="154" t="s">
        <v>230</v>
      </c>
      <c r="F11" s="153"/>
      <c r="G11" s="153"/>
      <c r="H11" s="286"/>
      <c r="I11" s="286"/>
      <c r="J11" s="286"/>
      <c r="K11" s="286"/>
    </row>
    <row r="12" spans="1:11" ht="10" customHeight="1" x14ac:dyDescent="0.35">
      <c r="A12" s="147"/>
      <c r="B12" s="149"/>
      <c r="C12" s="149"/>
      <c r="D12" s="147"/>
      <c r="F12" s="153"/>
      <c r="G12" s="153"/>
      <c r="H12" s="286"/>
      <c r="I12" s="286"/>
      <c r="J12" s="286"/>
      <c r="K12" s="286"/>
    </row>
    <row r="13" spans="1:11" ht="3" customHeight="1" x14ac:dyDescent="0.35">
      <c r="A13" s="147"/>
      <c r="B13" s="149"/>
      <c r="C13" s="149"/>
      <c r="D13" s="147"/>
      <c r="E13" s="154"/>
      <c r="F13" s="153"/>
      <c r="G13" s="153"/>
      <c r="H13" s="286"/>
      <c r="I13" s="286"/>
      <c r="J13" s="286"/>
      <c r="K13" s="286"/>
    </row>
    <row r="14" spans="1:11" ht="44.5" hidden="1" customHeight="1" x14ac:dyDescent="0.35">
      <c r="A14" s="148" t="s">
        <v>231</v>
      </c>
      <c r="B14" s="149"/>
      <c r="C14" s="149"/>
      <c r="D14" s="147"/>
      <c r="E14" s="148" t="s">
        <v>232</v>
      </c>
      <c r="F14" s="153"/>
      <c r="G14" s="153"/>
      <c r="H14" s="286"/>
      <c r="I14" s="286"/>
      <c r="J14" s="286"/>
      <c r="K14" s="286"/>
    </row>
    <row r="15" spans="1:11" ht="14.5" x14ac:dyDescent="0.35">
      <c r="A15" s="152" t="s">
        <v>233</v>
      </c>
      <c r="B15" s="149"/>
      <c r="C15" s="149"/>
      <c r="D15" s="147"/>
      <c r="E15" s="152" t="s">
        <v>234</v>
      </c>
      <c r="F15" s="153"/>
      <c r="G15" s="153"/>
      <c r="H15" s="286"/>
      <c r="I15" s="286"/>
      <c r="J15" s="286"/>
      <c r="K15" s="286"/>
    </row>
    <row r="16" spans="1:11" ht="41" customHeight="1" x14ac:dyDescent="0.35">
      <c r="A16" s="155" t="s">
        <v>235</v>
      </c>
      <c r="B16" s="149"/>
      <c r="C16" s="149"/>
      <c r="D16" s="147"/>
      <c r="E16" s="287" t="s">
        <v>236</v>
      </c>
      <c r="F16" s="287"/>
      <c r="G16" s="287"/>
      <c r="H16" s="286"/>
      <c r="I16" s="286"/>
      <c r="J16" s="286"/>
      <c r="K16" s="286"/>
    </row>
    <row r="17" spans="1:11" ht="11.5" customHeight="1" x14ac:dyDescent="0.35">
      <c r="A17" s="147"/>
      <c r="B17" s="149"/>
      <c r="C17" s="149"/>
      <c r="D17" s="147"/>
      <c r="E17" s="154"/>
      <c r="F17" s="153"/>
      <c r="G17" s="153"/>
      <c r="H17" s="286"/>
      <c r="I17" s="286"/>
      <c r="J17" s="286"/>
      <c r="K17" s="286"/>
    </row>
    <row r="18" spans="1:11" hidden="1" x14ac:dyDescent="0.3">
      <c r="A18" s="145"/>
      <c r="B18" s="145"/>
      <c r="C18" s="145"/>
      <c r="D18" s="145"/>
      <c r="E18" s="145"/>
      <c r="F18" s="145"/>
      <c r="G18" s="145"/>
      <c r="H18" s="286"/>
      <c r="I18" s="286"/>
      <c r="J18" s="286"/>
      <c r="K18" s="286"/>
    </row>
    <row r="19" spans="1:11" hidden="1" x14ac:dyDescent="0.3">
      <c r="A19" s="145"/>
      <c r="B19" s="145"/>
      <c r="C19" s="145"/>
      <c r="D19" s="145"/>
      <c r="E19" s="145"/>
      <c r="F19" s="145"/>
      <c r="G19" s="145"/>
      <c r="H19" s="145"/>
      <c r="I19" s="145"/>
      <c r="J19" s="145"/>
      <c r="K19" s="145"/>
    </row>
    <row r="20" spans="1:11" ht="14.5" x14ac:dyDescent="0.35">
      <c r="A20" s="156" t="s">
        <v>237</v>
      </c>
      <c r="B20" s="157"/>
      <c r="C20" s="158"/>
      <c r="D20" s="144"/>
      <c r="E20" s="144"/>
      <c r="F20" s="144"/>
      <c r="G20" s="144"/>
      <c r="H20" s="144"/>
      <c r="I20" s="144"/>
      <c r="J20" s="144"/>
      <c r="K20" s="144"/>
    </row>
    <row r="21" spans="1:11" ht="104" customHeight="1" x14ac:dyDescent="0.3">
      <c r="A21" s="283" t="s">
        <v>432</v>
      </c>
      <c r="B21" s="284"/>
      <c r="C21" s="284"/>
      <c r="D21" s="284"/>
      <c r="E21" s="284"/>
      <c r="F21" s="284"/>
      <c r="G21" s="284"/>
      <c r="H21" s="284"/>
      <c r="I21" s="284"/>
      <c r="J21" s="284"/>
      <c r="K21" s="285"/>
    </row>
    <row r="22" spans="1:11" x14ac:dyDescent="0.3">
      <c r="A22" s="159"/>
      <c r="B22" s="159"/>
      <c r="C22" s="159"/>
      <c r="D22" s="159"/>
      <c r="E22" s="159"/>
      <c r="F22" s="159"/>
      <c r="G22" s="159"/>
      <c r="H22" s="159"/>
      <c r="I22" s="160"/>
      <c r="J22" s="160"/>
      <c r="K22" s="160"/>
    </row>
    <row r="23" spans="1:11" ht="14.5" x14ac:dyDescent="0.35">
      <c r="A23" s="161" t="s">
        <v>238</v>
      </c>
      <c r="B23" s="159"/>
      <c r="C23" s="159"/>
      <c r="D23" s="159"/>
      <c r="E23" s="159"/>
      <c r="F23" s="159"/>
      <c r="G23" s="159"/>
      <c r="H23" s="159"/>
      <c r="I23" s="160"/>
      <c r="J23" s="160"/>
      <c r="K23" s="160"/>
    </row>
    <row r="24" spans="1:11" x14ac:dyDescent="0.3">
      <c r="A24" s="162"/>
      <c r="B24" s="163" t="s">
        <v>240</v>
      </c>
      <c r="C24" s="159"/>
      <c r="D24" s="159"/>
      <c r="E24" s="159"/>
      <c r="F24" s="159"/>
      <c r="G24" s="164"/>
      <c r="H24" s="159"/>
      <c r="I24" s="160"/>
      <c r="J24" s="160"/>
      <c r="K24" s="160"/>
    </row>
    <row r="25" spans="1:11" ht="14.5" x14ac:dyDescent="0.35">
      <c r="A25" s="160"/>
      <c r="B25" s="160"/>
      <c r="C25" s="160"/>
      <c r="D25" s="165"/>
      <c r="E25" s="165"/>
      <c r="F25" s="166"/>
      <c r="G25" s="166"/>
      <c r="H25" s="166"/>
      <c r="I25" s="166"/>
      <c r="J25" s="166"/>
      <c r="K25" s="166"/>
    </row>
    <row r="26" spans="1:11" ht="14.5" x14ac:dyDescent="0.35">
      <c r="A26" s="161" t="s">
        <v>239</v>
      </c>
      <c r="B26" s="165"/>
      <c r="C26" s="165"/>
      <c r="D26" s="165"/>
      <c r="E26" s="166"/>
      <c r="F26" s="166"/>
      <c r="G26" s="166"/>
      <c r="H26" s="166"/>
      <c r="I26" s="166"/>
      <c r="J26" s="166"/>
      <c r="K26" s="166"/>
    </row>
    <row r="27" spans="1:11" x14ac:dyDescent="0.3">
      <c r="A27" s="288" t="s">
        <v>433</v>
      </c>
      <c r="B27" s="289"/>
      <c r="C27" s="289"/>
      <c r="D27" s="289"/>
      <c r="E27" s="289"/>
      <c r="F27" s="289"/>
      <c r="G27" s="289"/>
      <c r="H27" s="289"/>
      <c r="I27" s="289"/>
      <c r="J27" s="289"/>
      <c r="K27" s="289"/>
    </row>
    <row r="28" spans="1:11" x14ac:dyDescent="0.3">
      <c r="A28" s="289"/>
      <c r="B28" s="290"/>
      <c r="C28" s="290"/>
      <c r="D28" s="290"/>
      <c r="E28" s="290"/>
      <c r="F28" s="290"/>
      <c r="G28" s="290"/>
      <c r="H28" s="290"/>
      <c r="I28" s="290"/>
      <c r="J28" s="290"/>
      <c r="K28" s="289"/>
    </row>
    <row r="29" spans="1:11" x14ac:dyDescent="0.3">
      <c r="A29" s="289"/>
      <c r="B29" s="290"/>
      <c r="C29" s="290"/>
      <c r="D29" s="290"/>
      <c r="E29" s="290"/>
      <c r="F29" s="290"/>
      <c r="G29" s="290"/>
      <c r="H29" s="290"/>
      <c r="I29" s="290"/>
      <c r="J29" s="290"/>
      <c r="K29" s="289"/>
    </row>
    <row r="30" spans="1:11" x14ac:dyDescent="0.3">
      <c r="A30" s="289"/>
      <c r="B30" s="290"/>
      <c r="C30" s="290"/>
      <c r="D30" s="290"/>
      <c r="E30" s="290"/>
      <c r="F30" s="290"/>
      <c r="G30" s="290"/>
      <c r="H30" s="290"/>
      <c r="I30" s="290"/>
      <c r="J30" s="290"/>
      <c r="K30" s="289"/>
    </row>
    <row r="31" spans="1:11" ht="114" customHeight="1" x14ac:dyDescent="0.3">
      <c r="A31" s="289"/>
      <c r="B31" s="289"/>
      <c r="C31" s="289"/>
      <c r="D31" s="289"/>
      <c r="E31" s="289"/>
      <c r="F31" s="289"/>
      <c r="G31" s="289"/>
      <c r="H31" s="289"/>
      <c r="I31" s="289"/>
      <c r="J31" s="289"/>
      <c r="K31" s="289"/>
    </row>
    <row r="32" spans="1:11" ht="14.5" x14ac:dyDescent="0.35">
      <c r="A32" s="161" t="s">
        <v>180</v>
      </c>
    </row>
    <row r="33" spans="1:11" ht="14.5" x14ac:dyDescent="0.3">
      <c r="A33" s="291" t="s">
        <v>32</v>
      </c>
      <c r="B33" s="284"/>
      <c r="C33" s="284"/>
      <c r="D33" s="284"/>
      <c r="E33" s="284"/>
      <c r="F33" s="284"/>
      <c r="G33" s="284"/>
      <c r="H33" s="284"/>
      <c r="I33" s="284"/>
      <c r="J33" s="284"/>
      <c r="K33" s="285"/>
    </row>
    <row r="34" spans="1:11" ht="14.5" x14ac:dyDescent="0.3">
      <c r="A34" s="283" t="s">
        <v>247</v>
      </c>
      <c r="B34" s="284"/>
      <c r="C34" s="284"/>
      <c r="D34" s="284"/>
      <c r="E34" s="284"/>
      <c r="F34" s="284"/>
      <c r="G34" s="284"/>
      <c r="H34" s="284"/>
      <c r="I34" s="284"/>
      <c r="J34" s="284"/>
      <c r="K34" s="285"/>
    </row>
  </sheetData>
  <mergeCells count="6">
    <mergeCell ref="A34:K34"/>
    <mergeCell ref="H9:K18"/>
    <mergeCell ref="E16:G16"/>
    <mergeCell ref="A21:K21"/>
    <mergeCell ref="A27:K31"/>
    <mergeCell ref="A33:K33"/>
  </mergeCells>
  <hyperlinks>
    <hyperlink ref="A33" r:id="rId1" xr:uid="{7765F0F4-13FF-4659-842F-58AA08A4CF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3FF8-B178-49D5-ACE4-97BECFC1082C}">
  <dimension ref="A1:I37"/>
  <sheetViews>
    <sheetView showGridLines="0" topLeftCell="A3" workbookViewId="0">
      <selection activeCell="B16" sqref="B16"/>
    </sheetView>
  </sheetViews>
  <sheetFormatPr baseColWidth="10" defaultRowHeight="14" x14ac:dyDescent="0.3"/>
  <cols>
    <col min="1" max="1" width="39.33203125" customWidth="1"/>
    <col min="2" max="2" width="14.83203125" customWidth="1"/>
    <col min="3" max="3" width="26.75" customWidth="1"/>
    <col min="4" max="4" width="34.9140625" customWidth="1"/>
  </cols>
  <sheetData>
    <row r="1" spans="1:7" x14ac:dyDescent="0.3">
      <c r="A1" s="3" t="s">
        <v>3</v>
      </c>
    </row>
    <row r="3" spans="1:7" ht="24.5" customHeight="1" x14ac:dyDescent="0.3">
      <c r="A3" s="129" t="s">
        <v>175</v>
      </c>
      <c r="B3" s="118"/>
      <c r="C3" s="118"/>
      <c r="D3" s="118"/>
    </row>
    <row r="4" spans="1:7" x14ac:dyDescent="0.3">
      <c r="A4" s="9" t="s">
        <v>30</v>
      </c>
      <c r="B4" s="275">
        <v>2025</v>
      </c>
      <c r="C4" s="15"/>
    </row>
    <row r="5" spans="1:7" ht="28" x14ac:dyDescent="0.3">
      <c r="A5" s="12" t="s">
        <v>367</v>
      </c>
      <c r="B5" s="9">
        <f>2030-B4</f>
        <v>5</v>
      </c>
      <c r="C5" s="15" t="s">
        <v>31</v>
      </c>
    </row>
    <row r="6" spans="1:7" x14ac:dyDescent="0.3">
      <c r="A6" s="9" t="s">
        <v>174</v>
      </c>
      <c r="B6" s="9">
        <v>10</v>
      </c>
      <c r="C6" s="15" t="s">
        <v>31</v>
      </c>
    </row>
    <row r="8" spans="1:7" ht="26" customHeight="1" x14ac:dyDescent="0.3">
      <c r="A8" s="130" t="s">
        <v>176</v>
      </c>
      <c r="B8" s="118"/>
      <c r="C8" s="118"/>
      <c r="D8" s="118"/>
    </row>
    <row r="9" spans="1:7" ht="43" customHeight="1" thickBot="1" x14ac:dyDescent="0.35">
      <c r="A9" s="294" t="s">
        <v>363</v>
      </c>
      <c r="B9" s="294"/>
      <c r="C9" s="294"/>
      <c r="D9" s="1"/>
    </row>
    <row r="10" spans="1:7" ht="42" customHeight="1" thickTop="1" x14ac:dyDescent="0.3">
      <c r="A10" s="225" t="s">
        <v>0</v>
      </c>
      <c r="B10" s="29" t="s">
        <v>249</v>
      </c>
      <c r="C10" s="29" t="s">
        <v>434</v>
      </c>
    </row>
    <row r="11" spans="1:7" ht="17" customHeight="1" x14ac:dyDescent="0.3">
      <c r="A11" s="9" t="s">
        <v>273</v>
      </c>
      <c r="B11" s="12"/>
      <c r="C11" s="20">
        <v>0.54</v>
      </c>
      <c r="D11" t="s">
        <v>294</v>
      </c>
    </row>
    <row r="12" spans="1:7" x14ac:dyDescent="0.3">
      <c r="A12" s="9" t="s">
        <v>177</v>
      </c>
      <c r="B12" s="9"/>
      <c r="C12" s="22">
        <v>0.64</v>
      </c>
      <c r="D12" t="s">
        <v>294</v>
      </c>
    </row>
    <row r="13" spans="1:7" x14ac:dyDescent="0.3">
      <c r="A13" s="9" t="s">
        <v>178</v>
      </c>
      <c r="B13" s="9"/>
      <c r="C13" s="22">
        <v>0.6</v>
      </c>
      <c r="D13" s="278" t="s">
        <v>85</v>
      </c>
      <c r="G13" s="1"/>
    </row>
    <row r="14" spans="1:7" x14ac:dyDescent="0.3">
      <c r="A14" s="9" t="s">
        <v>86</v>
      </c>
      <c r="B14" s="9"/>
      <c r="C14" s="22">
        <v>0.9</v>
      </c>
      <c r="D14" t="s">
        <v>294</v>
      </c>
    </row>
    <row r="15" spans="1:7" x14ac:dyDescent="0.3">
      <c r="A15" s="9" t="s">
        <v>99</v>
      </c>
      <c r="B15" s="9"/>
      <c r="C15" s="28">
        <v>0.4</v>
      </c>
      <c r="D15" t="s">
        <v>437</v>
      </c>
    </row>
    <row r="16" spans="1:7" ht="56.5" customHeight="1" x14ac:dyDescent="0.3">
      <c r="A16" s="9" t="s">
        <v>179</v>
      </c>
      <c r="B16" s="9">
        <v>25</v>
      </c>
      <c r="C16" s="22">
        <v>0.95</v>
      </c>
      <c r="D16" s="1" t="s">
        <v>435</v>
      </c>
    </row>
    <row r="18" spans="1:9" ht="28.5" customHeight="1" x14ac:dyDescent="0.3">
      <c r="A18" s="130" t="s">
        <v>186</v>
      </c>
      <c r="B18" s="118"/>
      <c r="C18" s="118"/>
      <c r="D18" s="118"/>
    </row>
    <row r="19" spans="1:9" ht="86" customHeight="1" x14ac:dyDescent="0.3">
      <c r="A19" s="295" t="s">
        <v>248</v>
      </c>
      <c r="B19" s="295"/>
      <c r="C19" s="295"/>
      <c r="D19" s="276"/>
      <c r="I19" s="279"/>
    </row>
    <row r="20" spans="1:9" x14ac:dyDescent="0.3">
      <c r="A20" s="9" t="s">
        <v>303</v>
      </c>
      <c r="B20" s="12" t="s">
        <v>242</v>
      </c>
      <c r="C20" s="9" t="s">
        <v>245</v>
      </c>
      <c r="I20" s="279"/>
    </row>
    <row r="21" spans="1:9" ht="54" customHeight="1" x14ac:dyDescent="0.3">
      <c r="A21" s="9" t="s">
        <v>181</v>
      </c>
      <c r="B21" s="167">
        <v>0.05</v>
      </c>
      <c r="C21" s="12" t="s">
        <v>368</v>
      </c>
      <c r="I21" s="279"/>
    </row>
    <row r="22" spans="1:9" ht="54" customHeight="1" x14ac:dyDescent="0.3">
      <c r="A22" s="9" t="s">
        <v>246</v>
      </c>
      <c r="B22" s="167">
        <v>0.1</v>
      </c>
      <c r="C22" s="12" t="s">
        <v>243</v>
      </c>
      <c r="I22" s="279"/>
    </row>
    <row r="23" spans="1:9" ht="54" customHeight="1" x14ac:dyDescent="0.3">
      <c r="A23" s="9" t="s">
        <v>182</v>
      </c>
      <c r="B23" s="167">
        <v>0.05</v>
      </c>
      <c r="C23" s="12" t="s">
        <v>244</v>
      </c>
      <c r="I23" s="279"/>
    </row>
    <row r="24" spans="1:9" ht="54" customHeight="1" x14ac:dyDescent="0.3">
      <c r="A24" s="115" t="s">
        <v>183</v>
      </c>
      <c r="B24" s="167">
        <v>0.05</v>
      </c>
      <c r="C24" s="12" t="s">
        <v>244</v>
      </c>
      <c r="I24" s="279"/>
    </row>
    <row r="25" spans="1:9" ht="54" customHeight="1" x14ac:dyDescent="0.3">
      <c r="A25" s="9" t="s">
        <v>184</v>
      </c>
      <c r="B25" s="167">
        <v>0.05</v>
      </c>
      <c r="C25" s="12" t="s">
        <v>243</v>
      </c>
      <c r="I25" s="279"/>
    </row>
    <row r="26" spans="1:9" ht="54" customHeight="1" x14ac:dyDescent="0.3">
      <c r="A26" s="9" t="s">
        <v>185</v>
      </c>
      <c r="B26" s="167">
        <v>0.1</v>
      </c>
      <c r="C26" s="12" t="s">
        <v>368</v>
      </c>
      <c r="D26" s="62"/>
      <c r="I26" s="279"/>
    </row>
    <row r="27" spans="1:9" ht="40.5" customHeight="1" x14ac:dyDescent="0.3">
      <c r="A27" s="292" t="s">
        <v>296</v>
      </c>
      <c r="B27" s="293"/>
      <c r="C27" s="293"/>
      <c r="D27" s="293"/>
      <c r="I27" s="279"/>
    </row>
    <row r="29" spans="1:9" x14ac:dyDescent="0.3">
      <c r="D29" s="59"/>
    </row>
    <row r="30" spans="1:9" x14ac:dyDescent="0.3">
      <c r="C30" s="54"/>
      <c r="D30" s="54"/>
    </row>
    <row r="31" spans="1:9" x14ac:dyDescent="0.3">
      <c r="A31" s="60"/>
    </row>
    <row r="32" spans="1:9" x14ac:dyDescent="0.3">
      <c r="C32" s="54"/>
      <c r="D32" s="54"/>
    </row>
    <row r="37" spans="3:4" x14ac:dyDescent="0.3">
      <c r="C37" s="54"/>
      <c r="D37" s="54"/>
    </row>
  </sheetData>
  <mergeCells count="3">
    <mergeCell ref="A27:D27"/>
    <mergeCell ref="A9:C9"/>
    <mergeCell ref="A19:C19"/>
  </mergeCells>
  <phoneticPr fontId="3" type="noConversion"/>
  <hyperlinks>
    <hyperlink ref="D13" r:id="rId1" location=":~:text=%7COctobre%202022-,L'insertion%20professionnelle%20des%20dipl%C3%B4m%C3%A9s%202019%20de%20licence%20professionnelle%20atteint,dipl%C3%B4m%C3%A9s%20de%20la%20promotion%20pr%C3%A9c%C3%A9dente." display="https://www.enseignementsup-recherche.gouv.fr/fr/l-insertion-professionnelle-des-diplomes-2019-de-licence-professionnelle-atteint-95-au-1er-decembre-87349#:~:text=%7COctobre%202022-,L'insertion%20professionnelle%20des%20dipl%C3%B4m%C3%A9s%202019%20de%20licence%20professionnelle%20atteint,dipl%C3%B4m%C3%A9s%20de%20la%20promotion%20pr%C3%A9c%C3%A9dente." xr:uid="{F1DC7EA6-49D0-4C9F-A870-98A07FD5A00D}"/>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C43-682F-4DC0-95F1-6A295871984E}">
  <dimension ref="A1:B10"/>
  <sheetViews>
    <sheetView showGridLines="0" workbookViewId="0">
      <selection activeCell="A9" sqref="A9"/>
    </sheetView>
  </sheetViews>
  <sheetFormatPr baseColWidth="10" defaultRowHeight="14" x14ac:dyDescent="0.3"/>
  <cols>
    <col min="1" max="2" width="68.25" customWidth="1"/>
  </cols>
  <sheetData>
    <row r="1" spans="1:2" x14ac:dyDescent="0.3">
      <c r="A1" s="296" t="s">
        <v>241</v>
      </c>
      <c r="B1" s="296"/>
    </row>
    <row r="2" spans="1:2" x14ac:dyDescent="0.3">
      <c r="A2" s="168"/>
      <c r="B2" s="169"/>
    </row>
    <row r="3" spans="1:2" x14ac:dyDescent="0.3">
      <c r="A3" s="85" t="s">
        <v>171</v>
      </c>
    </row>
    <row r="4" spans="1:2" ht="99" customHeight="1" x14ac:dyDescent="0.3">
      <c r="A4" s="127" t="s">
        <v>339</v>
      </c>
    </row>
    <row r="5" spans="1:2" ht="22.5" customHeight="1" x14ac:dyDescent="0.3">
      <c r="A5" s="85" t="s">
        <v>345</v>
      </c>
      <c r="B5" s="85" t="s">
        <v>172</v>
      </c>
    </row>
    <row r="6" spans="1:2" ht="219" customHeight="1" x14ac:dyDescent="0.3">
      <c r="A6" s="216" t="s">
        <v>340</v>
      </c>
      <c r="B6" s="216" t="s">
        <v>369</v>
      </c>
    </row>
    <row r="7" spans="1:2" x14ac:dyDescent="0.3">
      <c r="A7" s="85" t="s">
        <v>173</v>
      </c>
      <c r="B7" s="85" t="s">
        <v>346</v>
      </c>
    </row>
    <row r="8" spans="1:2" ht="286" customHeight="1" x14ac:dyDescent="0.3">
      <c r="A8" s="215" t="s">
        <v>370</v>
      </c>
      <c r="B8" s="214" t="s">
        <v>371</v>
      </c>
    </row>
    <row r="9" spans="1:2" ht="17.5" x14ac:dyDescent="0.35">
      <c r="A9" s="277" t="s">
        <v>372</v>
      </c>
      <c r="B9" s="125"/>
    </row>
    <row r="10" spans="1:2" ht="17.5" x14ac:dyDescent="0.3">
      <c r="A10" s="126"/>
    </row>
  </sheetData>
  <mergeCells count="1">
    <mergeCell ref="A1:B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FD45-634D-4A3E-92F1-D7229D3ED3DF}">
  <dimension ref="A1:L61"/>
  <sheetViews>
    <sheetView showGridLines="0" topLeftCell="F1" zoomScale="75" zoomScaleNormal="80" workbookViewId="0">
      <pane ySplit="2" topLeftCell="A18" activePane="bottomLeft" state="frozen"/>
      <selection pane="bottomLeft" activeCell="L19" sqref="L19"/>
    </sheetView>
  </sheetViews>
  <sheetFormatPr baseColWidth="10" defaultRowHeight="14" x14ac:dyDescent="0.3"/>
  <cols>
    <col min="1" max="1" width="68.33203125" customWidth="1"/>
    <col min="2" max="2" width="13.83203125" customWidth="1"/>
    <col min="3" max="6" width="17.33203125" customWidth="1"/>
    <col min="7" max="7" width="33.33203125" customWidth="1"/>
    <col min="8" max="8" width="40.5" customWidth="1"/>
    <col min="9" max="10" width="22.75" customWidth="1"/>
    <col min="11" max="11" width="4.75" customWidth="1"/>
    <col min="12" max="12" width="83" customWidth="1"/>
  </cols>
  <sheetData>
    <row r="1" spans="1:12" ht="20" customHeight="1" x14ac:dyDescent="0.3">
      <c r="A1" s="301" t="s">
        <v>373</v>
      </c>
      <c r="B1" s="301" t="s">
        <v>27</v>
      </c>
      <c r="C1" s="303" t="s">
        <v>21</v>
      </c>
      <c r="D1" s="303"/>
      <c r="E1" s="304" t="s">
        <v>22</v>
      </c>
      <c r="F1" s="304"/>
      <c r="G1" s="302" t="s">
        <v>20</v>
      </c>
      <c r="H1" s="300" t="s">
        <v>26</v>
      </c>
      <c r="I1" s="299" t="s">
        <v>348</v>
      </c>
      <c r="J1" s="299"/>
      <c r="K1" s="298"/>
      <c r="L1" s="298"/>
    </row>
    <row r="2" spans="1:12" ht="28" x14ac:dyDescent="0.3">
      <c r="A2" s="301"/>
      <c r="B2" s="301"/>
      <c r="C2" s="10" t="s">
        <v>23</v>
      </c>
      <c r="D2" s="7" t="s">
        <v>24</v>
      </c>
      <c r="E2" s="11" t="s">
        <v>23</v>
      </c>
      <c r="F2" s="8" t="s">
        <v>24</v>
      </c>
      <c r="G2" s="302"/>
      <c r="H2" s="300"/>
      <c r="I2" s="174" t="s">
        <v>349</v>
      </c>
      <c r="J2" s="174" t="s">
        <v>350</v>
      </c>
      <c r="K2" s="170"/>
      <c r="L2" s="170"/>
    </row>
    <row r="3" spans="1:12" x14ac:dyDescent="0.3">
      <c r="A3" s="308" t="s">
        <v>353</v>
      </c>
      <c r="B3" s="309"/>
      <c r="C3" s="309"/>
      <c r="D3" s="309"/>
      <c r="E3" s="309"/>
      <c r="F3" s="309"/>
      <c r="G3" s="309"/>
      <c r="H3" s="309"/>
      <c r="I3" s="309"/>
      <c r="J3" s="310"/>
      <c r="K3" s="171"/>
      <c r="L3" s="171"/>
    </row>
    <row r="4" spans="1:12" ht="102" customHeight="1" x14ac:dyDescent="0.3">
      <c r="A4" s="12" t="s">
        <v>376</v>
      </c>
      <c r="B4" s="12">
        <f>SUM('Annexe - Volume'!D4:D7)</f>
        <v>175</v>
      </c>
      <c r="C4" s="13">
        <f>AVERAGE('Annexe - Volume'!H4:H7)</f>
        <v>22.338694928143077</v>
      </c>
      <c r="D4" s="14">
        <f>C4/B4</f>
        <v>0.12764968530367474</v>
      </c>
      <c r="E4" s="13">
        <f>AVERAGE('Annexe - Volume'!K4:K7)</f>
        <v>22.338694928143077</v>
      </c>
      <c r="F4" s="14">
        <f t="shared" ref="F4:F10" si="0">E4/B4</f>
        <v>0.12764968530367474</v>
      </c>
      <c r="G4" s="12" t="s">
        <v>280</v>
      </c>
      <c r="H4" s="12" t="s">
        <v>252</v>
      </c>
      <c r="I4" s="79" t="str">
        <f>IF(AVERAGE('Annexe - Volume'!N4:N7)&lt;AVERAGE('Annexe - Volume'!P4:P7),"Effectifs suffisants pour les besoins en 2040","Effectifs insuffisants pour les besoins en 2040")</f>
        <v>Effectifs suffisants pour les besoins en 2040</v>
      </c>
      <c r="J4" s="79" t="str">
        <f>IF(AVERAGE('Annexe - Volume'!O4:O7)&lt;AVERAGE('Annexe - Volume'!Q4:Q7),"Effectifs suffisants pour les besoins en 2040","Effectifs insuffisants pour les besoins en 2040")</f>
        <v>Effectifs suffisants pour les besoins en 2040</v>
      </c>
      <c r="K4" s="172"/>
      <c r="L4" s="311" t="s">
        <v>431</v>
      </c>
    </row>
    <row r="5" spans="1:12" ht="89" customHeight="1" x14ac:dyDescent="0.3">
      <c r="A5" s="12" t="s">
        <v>377</v>
      </c>
      <c r="B5" s="21">
        <f>SUM('Annexe - Volume'!D8:D11)</f>
        <v>1242</v>
      </c>
      <c r="C5" s="13">
        <f>AVERAGE('Annexe - Volume'!H8:H11)</f>
        <v>7.44623164271436</v>
      </c>
      <c r="D5" s="14">
        <f t="shared" ref="D5:D10" si="1">C5/B5</f>
        <v>5.9953555899471501E-3</v>
      </c>
      <c r="E5" s="13">
        <f>AVERAGE('Annexe - Volume'!K8:K11)</f>
        <v>7.8274150439098902</v>
      </c>
      <c r="F5" s="14">
        <f t="shared" si="0"/>
        <v>6.3022665409902499E-3</v>
      </c>
      <c r="G5" s="12" t="s">
        <v>281</v>
      </c>
      <c r="H5" s="12" t="s">
        <v>252</v>
      </c>
      <c r="I5" s="79" t="str">
        <f>IF(AVERAGE('Annexe - Volume'!N8:N11)&lt;AVERAGE('Annexe - Volume'!P8:P11),"Effectifs suffisants pour les besoins en 2040","Effectifs insuffisants pour les besoins en 2040")</f>
        <v>Effectifs suffisants pour les besoins en 2040</v>
      </c>
      <c r="J5" s="79" t="str">
        <f>IF(AVERAGE('Annexe - Volume'!O8:O11)&lt;AVERAGE('Annexe - Volume'!Q8:Q11),"Effectifs suffisants pour les besoins en 2040","Effectifs insuffisants pour les besoins en 2040")</f>
        <v>Effectifs suffisants pour les besoins en 2040</v>
      </c>
      <c r="K5" s="172"/>
      <c r="L5" s="312"/>
    </row>
    <row r="6" spans="1:12" ht="61.5" customHeight="1" x14ac:dyDescent="0.3">
      <c r="A6" s="12" t="s">
        <v>251</v>
      </c>
      <c r="B6" s="12">
        <f>SUM('Annexe - Volume'!D12:D15)</f>
        <v>716</v>
      </c>
      <c r="C6" s="13">
        <f>AVERAGE('Annexe - Volume'!H12:H15)</f>
        <v>2.4826388888888888</v>
      </c>
      <c r="D6" s="14">
        <f t="shared" si="1"/>
        <v>3.4673727498448167E-3</v>
      </c>
      <c r="E6" s="13">
        <f>'Annexe - Volume'!K12</f>
        <v>2.4074074074074074</v>
      </c>
      <c r="F6" s="14">
        <f t="shared" si="0"/>
        <v>3.362300848334368E-3</v>
      </c>
      <c r="G6" s="12" t="s">
        <v>282</v>
      </c>
      <c r="H6" s="12" t="s">
        <v>252</v>
      </c>
      <c r="I6" s="79" t="str">
        <f>IF(AVERAGE('Annexe - Volume'!N12:N15)&lt;AVERAGE('Annexe - Volume'!P12:P15),"Effectifs suffisants pour les besoins en 2040","Effectifs insuffisants pour les besoins en 2040")</f>
        <v>Effectifs suffisants pour les besoins en 2040</v>
      </c>
      <c r="J6" s="79" t="str">
        <f>IF(AVERAGE('Annexe - Volume'!O12:O15)&lt;AVERAGE('Annexe - Volume'!Q12:Q15),"Effectifs suffisants pour les besoins en 2040","Effectifs insuffisants pour les besoins en 2040")</f>
        <v>Effectifs insuffisants pour les besoins en 2040</v>
      </c>
      <c r="K6" s="172"/>
      <c r="L6" s="312"/>
    </row>
    <row r="7" spans="1:12" ht="61.5" customHeight="1" x14ac:dyDescent="0.3">
      <c r="A7" s="12" t="s">
        <v>253</v>
      </c>
      <c r="B7" s="12">
        <f>SUM('Annexe - Volume'!D16)</f>
        <v>611</v>
      </c>
      <c r="C7" s="13">
        <f>AVERAGE('Annexe - Volume'!H16,'Annexe - Volume'!H17)</f>
        <v>8.9583333333333321</v>
      </c>
      <c r="D7" s="14">
        <f>C7/B7</f>
        <v>1.4661756683033277E-2</v>
      </c>
      <c r="E7" s="13">
        <f>AVERAGE('Annexe - Volume'!K16,'Annexe - Volume'!K17)</f>
        <v>8.9583333333333321</v>
      </c>
      <c r="F7" s="14">
        <f t="shared" si="0"/>
        <v>1.4661756683033277E-2</v>
      </c>
      <c r="G7" s="12" t="s">
        <v>283</v>
      </c>
      <c r="H7" s="12" t="s">
        <v>252</v>
      </c>
      <c r="I7" s="79" t="str">
        <f>IF('Annexe - Volume'!N16+'Annexe - Volume'!N17&lt;'Annexe - Volume'!P16+'Annexe - Volume'!P17,"Effectifs suffisants pour les besoins en 2040","Effectifs insuffisants pour les besoins en 2040")</f>
        <v>Effectifs suffisants pour les besoins en 2040</v>
      </c>
      <c r="J7" s="79" t="str">
        <f>IF('Annexe - Volume'!O16+'Annexe - Volume'!O17&lt;'Annexe - Volume'!Q16+'Annexe - Volume'!Q17,"Effectifs suffisants pour les besoins en 2040","Effectifs insuffisants pour les besoins en 2040")</f>
        <v>Effectifs insuffisants pour les besoins en 2040</v>
      </c>
      <c r="K7" s="171"/>
      <c r="L7" s="312"/>
    </row>
    <row r="8" spans="1:12" ht="56" customHeight="1" x14ac:dyDescent="0.3">
      <c r="A8" s="12" t="s">
        <v>323</v>
      </c>
      <c r="B8" s="12">
        <f>'Annexe - Volume'!D18</f>
        <v>400</v>
      </c>
      <c r="C8" s="13">
        <f>AVERAGE('Annexe - Volume'!H18)</f>
        <v>13.486424973406548</v>
      </c>
      <c r="D8" s="14">
        <f t="shared" si="1"/>
        <v>3.3716062433516367E-2</v>
      </c>
      <c r="E8" s="13">
        <f>AVERAGE('Annexe - Volume'!K18)</f>
        <v>25.447090787958174</v>
      </c>
      <c r="F8" s="14">
        <f t="shared" si="0"/>
        <v>6.3617726969895441E-2</v>
      </c>
      <c r="G8" s="12" t="s">
        <v>104</v>
      </c>
      <c r="H8" s="12"/>
      <c r="I8" s="79" t="str">
        <f>IF('Annexe - Volume'!N18&lt;'Annexe - Volume'!P18,"Effectifs suffisants pour les besoins en 2040","Effectifs insuffisants pour les besoins en 2040")</f>
        <v>Effectifs suffisants pour les besoins en 2040</v>
      </c>
      <c r="J8" s="79" t="str">
        <f>IF('Annexe - Volume'!O18&lt;'Annexe - Volume'!Q18,"Effectifs suffisants pour les besoins en 2040","Effectifs insuffisants pour les besoins en 2040")</f>
        <v>Effectifs insuffisants pour les besoins en 2040</v>
      </c>
      <c r="K8" s="172"/>
      <c r="L8" s="312"/>
    </row>
    <row r="9" spans="1:12" ht="43" customHeight="1" x14ac:dyDescent="0.3">
      <c r="A9" s="12" t="s">
        <v>255</v>
      </c>
      <c r="B9" s="12">
        <f>'Annexe - Volume'!D21+'Annexe - Volume'!D20</f>
        <v>317</v>
      </c>
      <c r="C9" s="13">
        <f>AVERAGE('Annexe - Volume'!H20:H21)</f>
        <v>3.3940736701303162</v>
      </c>
      <c r="D9" s="14">
        <f t="shared" si="1"/>
        <v>1.0706857003565667E-2</v>
      </c>
      <c r="E9" s="13">
        <f>AVERAGE('Annexe - Volume'!K20:K21)</f>
        <v>4.3997284033797124</v>
      </c>
      <c r="F9" s="14">
        <f t="shared" si="0"/>
        <v>1.3879269411292468E-2</v>
      </c>
      <c r="G9" s="12" t="s">
        <v>104</v>
      </c>
      <c r="H9" s="12" t="s">
        <v>252</v>
      </c>
      <c r="I9" s="79" t="str">
        <f>IF(AVERAGE('Annexe - Volume'!N20:N21)&lt;AVERAGE('Annexe - Volume'!P20:P21),"Effectifs suffisants pour les besoins en 2040","Effectifs insuffisants pour les besoins en 2040")</f>
        <v>Effectifs suffisants pour les besoins en 2040</v>
      </c>
      <c r="J9" s="79" t="str">
        <f>IF(AVERAGE('Annexe - Volume'!O20:O21)&lt;AVERAGE('Annexe - Volume'!Q20:Q21),"Effectifs suffisants pour les besoins en 2040","Effectifs insuffisants pour les besoins en 2040")</f>
        <v>Effectifs suffisants pour les besoins en 2040</v>
      </c>
      <c r="K9" s="171"/>
      <c r="L9" s="312"/>
    </row>
    <row r="10" spans="1:12" ht="56" x14ac:dyDescent="0.3">
      <c r="A10" s="32" t="s">
        <v>254</v>
      </c>
      <c r="B10" s="93">
        <f>'Annexe - Volume'!D22</f>
        <v>52</v>
      </c>
      <c r="C10" s="35">
        <f>AVERAGE('Annexe - Volume'!H22)</f>
        <v>2.8605749556585804</v>
      </c>
      <c r="D10" s="14">
        <f t="shared" si="1"/>
        <v>5.5011056839588082E-2</v>
      </c>
      <c r="E10" s="35">
        <f>AVERAGE('Annexe - Volume'!K22)</f>
        <v>4.7794003975799919</v>
      </c>
      <c r="F10" s="14">
        <f t="shared" si="0"/>
        <v>9.1911546107307535E-2</v>
      </c>
      <c r="G10" s="12" t="s">
        <v>284</v>
      </c>
      <c r="H10" s="12" t="s">
        <v>252</v>
      </c>
      <c r="I10" s="79" t="str">
        <f>IF('Annexe - Volume'!N22&lt;'Annexe - Volume'!P22,"Effectifs suffisants pour les besoins en 2040","Effectifs insuffisants pour les besoins en 2040")</f>
        <v>Effectifs suffisants pour les besoins en 2040</v>
      </c>
      <c r="J10" s="79" t="str">
        <f>IF('Annexe - Volume'!O22&lt;'Annexe - Volume'!Q22,"Effectifs suffisants pour les besoins en 2040","Effectifs insuffisants pour les besoins en 2040")</f>
        <v>Effectifs suffisants pour les besoins en 2040</v>
      </c>
      <c r="K10" s="171"/>
      <c r="L10" s="312"/>
    </row>
    <row r="11" spans="1:12" ht="55.5" customHeight="1" x14ac:dyDescent="0.3">
      <c r="A11" s="12" t="s">
        <v>352</v>
      </c>
      <c r="B11" s="97" t="s">
        <v>365</v>
      </c>
      <c r="C11" s="35">
        <v>0</v>
      </c>
      <c r="D11" s="97" t="s">
        <v>365</v>
      </c>
      <c r="E11" s="35">
        <f>'Annexe - Volume'!K19</f>
        <v>9.0740740740740726</v>
      </c>
      <c r="F11" s="97" t="s">
        <v>365</v>
      </c>
      <c r="G11" s="12" t="s">
        <v>285</v>
      </c>
      <c r="H11" s="9"/>
      <c r="I11" s="79" t="str">
        <f>IF('Annexe - Volume'!N19&lt;'Annexe - Volume'!P19,"Effectifs suffisants pour les besoins en 2040","Effectifs insuffisants pour les besoins en 2040")</f>
        <v>Effectifs insuffisants pour les besoins en 2040</v>
      </c>
      <c r="J11" s="79" t="str">
        <f>IF('Annexe - Volume'!O19&lt;'Annexe - Volume'!Q19,"Effectifs suffisants pour les besoins en 2040","Effectifs insuffisants pour les besoins en 2040")</f>
        <v>Effectifs insuffisants pour les besoins en 2040</v>
      </c>
      <c r="K11" s="171"/>
      <c r="L11" s="312"/>
    </row>
    <row r="12" spans="1:12" x14ac:dyDescent="0.3">
      <c r="A12" s="305" t="s">
        <v>354</v>
      </c>
      <c r="B12" s="306"/>
      <c r="C12" s="306"/>
      <c r="D12" s="306"/>
      <c r="E12" s="306"/>
      <c r="F12" s="306"/>
      <c r="G12" s="306"/>
      <c r="H12" s="306"/>
      <c r="I12" s="306"/>
      <c r="J12" s="307"/>
      <c r="K12" s="171"/>
      <c r="L12" s="312"/>
    </row>
    <row r="13" spans="1:12" ht="144.5" customHeight="1" x14ac:dyDescent="0.3">
      <c r="A13" s="12" t="s">
        <v>374</v>
      </c>
      <c r="B13" s="9">
        <f>SUM('Annexe - Volume'!D24:D29)</f>
        <v>175</v>
      </c>
      <c r="C13" s="35">
        <f>AVERAGE('Annexe - Volume'!H24:H29)</f>
        <v>18.230514609747431</v>
      </c>
      <c r="D13" s="28">
        <f t="shared" ref="D13:D26" si="2">C13/B13</f>
        <v>0.10417436919855674</v>
      </c>
      <c r="E13" s="58">
        <f>AVERAGE('Annexe - Volume'!H24:H29)</f>
        <v>18.230514609747431</v>
      </c>
      <c r="F13" s="28">
        <f t="shared" ref="F13:F18" si="3">E13/B13</f>
        <v>0.10417436919855674</v>
      </c>
      <c r="G13" s="12" t="s">
        <v>280</v>
      </c>
      <c r="H13" s="9"/>
      <c r="I13" s="79" t="str">
        <f>IF(AVERAGE('Annexe - Volume'!N24:N29)&lt;AVERAGE('Annexe - Volume'!P24:P29),"Effectifs suffisants pour les besoins en 2040","Effectifs insuffisants pour les besoins en 2040")</f>
        <v>Effectifs suffisants pour les besoins en 2040</v>
      </c>
      <c r="J13" s="79" t="str">
        <f>IF(AVERAGE('Annexe - Volume'!O24:O29)&lt;AVERAGE('Annexe - Volume'!Q24:Q29),"Effectifs suffisants pour les besoins en 2040","Effectifs insuffisants pour les besoins en 2040")</f>
        <v>Effectifs suffisants pour les besoins en 2040</v>
      </c>
      <c r="K13" s="171"/>
      <c r="L13" s="312"/>
    </row>
    <row r="14" spans="1:12" ht="127" customHeight="1" x14ac:dyDescent="0.3">
      <c r="A14" s="12" t="s">
        <v>375</v>
      </c>
      <c r="B14" s="9">
        <f>SUM('Annexe - Volume'!D30:D36)</f>
        <v>319</v>
      </c>
      <c r="C14" s="35">
        <f>AVERAGE('Annexe - Volume'!H30:H36)</f>
        <v>5.2662333187637085</v>
      </c>
      <c r="D14" s="28">
        <f t="shared" si="2"/>
        <v>1.6508568397378395E-2</v>
      </c>
      <c r="E14" s="58">
        <f>AVERAGE('Annexe - Volume'!K30:K36)</f>
        <v>5.2662333187637085</v>
      </c>
      <c r="F14" s="28">
        <f t="shared" si="3"/>
        <v>1.6508568397378395E-2</v>
      </c>
      <c r="G14" s="12" t="s">
        <v>281</v>
      </c>
      <c r="H14" s="9"/>
      <c r="I14" s="79" t="str">
        <f>IF(AVERAGE('Annexe - Volume'!N30:N36)&lt;AVERAGE('Annexe - Volume'!P30:P36),"Effectifs suffisants pour les besoins en 2040","Effectifs insuffisants pour les besoins en 2040")</f>
        <v>Effectifs suffisants pour les besoins en 2040</v>
      </c>
      <c r="J14" s="79" t="str">
        <f>IF(AVERAGE('Annexe - Volume'!O30:O36)&lt;AVERAGE('Annexe - Volume'!Q30:Q36),"Effectifs suffisants pour les besoins en 2040","Effectifs insuffisants pour les besoins en 2040")</f>
        <v>Effectifs suffisants pour les besoins en 2040</v>
      </c>
      <c r="K14" s="171"/>
      <c r="L14" s="173"/>
    </row>
    <row r="15" spans="1:12" ht="92" customHeight="1" x14ac:dyDescent="0.3">
      <c r="A15" s="56" t="s">
        <v>378</v>
      </c>
      <c r="B15" s="56">
        <f>SUM('Annexe - Volume'!D37:D39)</f>
        <v>57</v>
      </c>
      <c r="C15" s="57">
        <f>AVERAGE('Annexe - Volume'!H37:H39)</f>
        <v>3.8094846491228069</v>
      </c>
      <c r="D15" s="28">
        <f t="shared" si="2"/>
        <v>6.6833064019698366E-2</v>
      </c>
      <c r="E15" s="58">
        <f>AVERAGE('Annexe - Volume'!K37:K39)</f>
        <v>3.8094846491228069</v>
      </c>
      <c r="F15" s="28">
        <f t="shared" si="3"/>
        <v>6.6833064019698366E-2</v>
      </c>
      <c r="G15" s="12" t="s">
        <v>282</v>
      </c>
      <c r="H15" s="15"/>
      <c r="I15" s="79" t="str">
        <f>IF(AVERAGE('Annexe - Volume'!N37:N39)&lt;AVERAGE('Annexe - Volume'!P37:P39),"Effectifs suffisants pour les besoins en 2040","Effectifs insuffisants pour les besoins en 2040")</f>
        <v>Effectifs suffisants pour les besoins en 2040</v>
      </c>
      <c r="J15" s="79" t="str">
        <f>IF(AVERAGE('Annexe - Volume'!O37:O39)&lt;AVERAGE('Annexe - Volume'!Q37:Q39),"Effectifs suffisants pour les besoins en 2040","Effectifs insuffisants pour les besoins en 2040")</f>
        <v>Effectifs insuffisants pour les besoins en 2040</v>
      </c>
      <c r="K15" s="171"/>
      <c r="L15" s="173"/>
    </row>
    <row r="16" spans="1:12" ht="43" x14ac:dyDescent="0.3">
      <c r="A16" s="56" t="s">
        <v>187</v>
      </c>
      <c r="B16" s="56">
        <f>SUM('Annexe - Volume'!D40:D41)</f>
        <v>40</v>
      </c>
      <c r="C16" s="57">
        <f>AVERAGE('Annexe - Volume'!H40:H41)</f>
        <v>4.9724220623501196</v>
      </c>
      <c r="D16" s="28">
        <f t="shared" si="2"/>
        <v>0.12431055155875299</v>
      </c>
      <c r="E16" s="58">
        <f>AVERAGE('Annexe - Volume'!K40:K41)</f>
        <v>4.9724220623501196</v>
      </c>
      <c r="F16" s="28">
        <f t="shared" si="3"/>
        <v>0.12431055155875299</v>
      </c>
      <c r="G16" s="12" t="s">
        <v>282</v>
      </c>
      <c r="H16" s="15"/>
      <c r="I16" s="79" t="str">
        <f>IF(AVERAGE('Annexe - Volume'!N40:N41)&lt;AVERAGE('Annexe - Volume'!P40:P41),"Effectifs suffisants pour les besoins en 2040","Effectifs insuffisants pour les besoins en 2040")</f>
        <v>Effectifs suffisants pour les besoins en 2040</v>
      </c>
      <c r="J16" s="79" t="str">
        <f>IF(AVERAGE('Annexe - Volume'!O40:O42)&lt;AVERAGE('Annexe - Volume'!Q40:Q42),"Effectifs suffisants pour les besoins en 2040","Effectifs insuffisants pour les besoins en 2040")</f>
        <v>Effectifs suffisants pour les besoins en 2040</v>
      </c>
      <c r="K16" s="171"/>
      <c r="L16" s="73"/>
    </row>
    <row r="17" spans="1:12" ht="73.5" customHeight="1" x14ac:dyDescent="0.3">
      <c r="A17" s="56" t="s">
        <v>410</v>
      </c>
      <c r="B17" s="56">
        <f>SUM('Annexe - Volume'!D42:D43)</f>
        <v>385</v>
      </c>
      <c r="C17" s="57">
        <f>AVERAGE('Annexe - Volume'!H42:H43)</f>
        <v>8.7969924812030094</v>
      </c>
      <c r="D17" s="28">
        <f t="shared" si="2"/>
        <v>2.2849331120007817E-2</v>
      </c>
      <c r="E17" s="58">
        <f>AVERAGE('Annexe - Volume'!K42:K43)</f>
        <v>8.7969924812030094</v>
      </c>
      <c r="F17" s="28">
        <f t="shared" si="3"/>
        <v>2.2849331120007817E-2</v>
      </c>
      <c r="G17" s="12" t="s">
        <v>280</v>
      </c>
      <c r="H17" s="15"/>
      <c r="I17" s="79" t="str">
        <f>IF(AVERAGE('Annexe - Volume'!N42:N43)&lt;AVERAGE('Annexe - Volume'!P42:P43),"Effectifs suffisants pour les besoins en 2040","Effectifs insuffisants pour les besoins en 2040")</f>
        <v>Effectifs suffisants pour les besoins en 2040</v>
      </c>
      <c r="J17" s="79" t="str">
        <f>IF(AVERAGE('Annexe - Volume'!O42:O43)&lt;AVERAGE('Annexe - Volume'!Q42:Q43),"Effectifs suffisants pour les besoins en 2040","Effectifs insuffisants pour les besoins en 2040")</f>
        <v>Effectifs insuffisants pour les besoins en 2040</v>
      </c>
      <c r="K17" s="171"/>
      <c r="L17" s="171"/>
    </row>
    <row r="18" spans="1:12" ht="88" customHeight="1" x14ac:dyDescent="0.3">
      <c r="A18" s="56" t="s">
        <v>293</v>
      </c>
      <c r="B18" s="56">
        <f>SUM('Annexe - Volume'!D44:D45)</f>
        <v>24</v>
      </c>
      <c r="C18" s="57">
        <f>AVERAGE('Annexe - Volume'!H44:H45)</f>
        <v>3.6231884057971011</v>
      </c>
      <c r="D18" s="28">
        <f t="shared" si="2"/>
        <v>0.1509661835748792</v>
      </c>
      <c r="E18" s="58">
        <f>AVERAGE('Annexe - Volume'!K44:K45)</f>
        <v>7.2463768115942022</v>
      </c>
      <c r="F18" s="28">
        <f t="shared" si="3"/>
        <v>0.30193236714975841</v>
      </c>
      <c r="G18" s="12" t="s">
        <v>288</v>
      </c>
      <c r="H18" s="15"/>
      <c r="I18" s="79" t="str">
        <f>IF(AVERAGE('Annexe - Volume'!N44:N45)&lt;AVERAGE('Annexe - Volume'!P44:P45),"Effectifs suffisants pour les besoins en 2040","Effectifs insuffisants pour les besoins en 2040")</f>
        <v>Effectifs insuffisants pour les besoins en 2040</v>
      </c>
      <c r="J18" s="79" t="str">
        <f>IF(AVERAGE('Annexe - Volume'!O44:O45)&lt;AVERAGE('Annexe - Volume'!Q44:Q45),"Effectifs suffisants pour les besoins en 2040","Effectifs insuffisants pour les besoins en 2040")</f>
        <v>Effectifs suffisants pour les besoins en 2040</v>
      </c>
      <c r="K18" s="171"/>
      <c r="L18" s="171"/>
    </row>
    <row r="19" spans="1:12" ht="98.5" customHeight="1" x14ac:dyDescent="0.3">
      <c r="A19" s="12" t="s">
        <v>379</v>
      </c>
      <c r="B19" s="9">
        <f>SUM('Annexe - Volume'!D46:D48)</f>
        <v>426</v>
      </c>
      <c r="C19" s="35">
        <f>AVERAGE('Annexe - Volume'!H46:H48)</f>
        <v>34.940002042483663</v>
      </c>
      <c r="D19" s="28">
        <f t="shared" si="2"/>
        <v>8.2018784137285597E-2</v>
      </c>
      <c r="E19" s="58">
        <f>AVERAGE('Annexe - Volume'!K46:K48)</f>
        <v>34.940002042483663</v>
      </c>
      <c r="F19" s="28">
        <f t="shared" ref="F19:F26" si="4">E19/B19</f>
        <v>8.2018784137285597E-2</v>
      </c>
      <c r="G19" s="12" t="s">
        <v>289</v>
      </c>
      <c r="H19" s="12" t="s">
        <v>444</v>
      </c>
      <c r="I19" s="79" t="str">
        <f>IF(AVERAGE('Annexe - Volume'!N46:N48)&lt;AVERAGE('Annexe - Volume'!P46:P48),"Effectifs suffisants pour les besoins en 2040","Effectifs insuffisants pour les besoins en 2040")</f>
        <v>Effectifs suffisants pour les besoins en 2040</v>
      </c>
      <c r="J19" s="79" t="str">
        <f>IF(AVERAGE('Annexe - Volume'!O46:O48)&lt;AVERAGE('Annexe - Volume'!Q46:Q48),"Effectifs suffisants pour les besoins en 2040","Effectifs insuffisants pour les besoins en 2040")</f>
        <v>Effectifs suffisants pour les besoins en 2040</v>
      </c>
      <c r="K19" s="171"/>
      <c r="L19" s="171"/>
    </row>
    <row r="20" spans="1:12" ht="61.5" customHeight="1" x14ac:dyDescent="0.3">
      <c r="A20" s="32" t="s">
        <v>195</v>
      </c>
      <c r="B20" s="9">
        <f>SUM('Annexe - Volume'!D50)</f>
        <v>40</v>
      </c>
      <c r="C20" s="35">
        <f>'Annexe - Volume'!H49</f>
        <v>23.464912280701757</v>
      </c>
      <c r="D20" s="28">
        <f t="shared" si="2"/>
        <v>0.58662280701754388</v>
      </c>
      <c r="E20" s="58">
        <f>'Annexe - Volume'!K49</f>
        <v>23.464912280701757</v>
      </c>
      <c r="F20" s="28">
        <f t="shared" si="4"/>
        <v>0.58662280701754388</v>
      </c>
      <c r="G20" s="12" t="s">
        <v>290</v>
      </c>
      <c r="H20" s="12" t="s">
        <v>385</v>
      </c>
      <c r="I20" s="79" t="str">
        <f>IF('Annexe - Volume'!N49&lt;'Annexe - Volume'!P49,"Effectifs suffisants pour les besoins en 2040","Effectifs insuffisants pour les besoins en 2040")</f>
        <v>Effectifs suffisants pour les besoins en 2040</v>
      </c>
      <c r="J20" s="79" t="str">
        <f>IF('Annexe - Volume'!O49&lt;'Annexe - Volume'!Q49,"Effectifs suffisants pour les besoins en 2040","Effectifs insuffisants pour les besoins en 2040")</f>
        <v>Effectifs suffisants pour les besoins en 2040</v>
      </c>
    </row>
    <row r="21" spans="1:12" ht="57" x14ac:dyDescent="0.3">
      <c r="A21" s="12" t="s">
        <v>380</v>
      </c>
      <c r="B21" s="9">
        <f>'Annexe - Volume'!D50</f>
        <v>40</v>
      </c>
      <c r="C21" s="35">
        <f>'Annexe - Volume'!H50</f>
        <v>4.5448085033299606</v>
      </c>
      <c r="D21" s="28">
        <f t="shared" si="2"/>
        <v>0.11362021258324902</v>
      </c>
      <c r="E21" s="58">
        <f>'Annexe - Volume'!K50</f>
        <v>11.078874110260861</v>
      </c>
      <c r="F21" s="28">
        <f t="shared" si="4"/>
        <v>0.27697185275652153</v>
      </c>
      <c r="G21" s="12" t="s">
        <v>104</v>
      </c>
      <c r="H21" s="9"/>
      <c r="I21" s="79" t="str">
        <f>IF('Annexe - Volume'!N50&lt;'Annexe - Volume'!P50,"Effectifs suffisants pour les besoins en 2040","Effectifs insuffisants pour les besoins en 2040")</f>
        <v>Effectifs insuffisants pour les besoins en 2040</v>
      </c>
      <c r="J21" s="79" t="str">
        <f>IF('Annexe - Volume'!O50&lt;'Annexe - Volume'!Q50,"Effectifs suffisants pour les besoins en 2040","Effectifs insuffisants pour les besoins en 2040")</f>
        <v>Effectifs insuffisants pour les besoins en 2040</v>
      </c>
    </row>
    <row r="22" spans="1:12" ht="57.5" x14ac:dyDescent="0.3">
      <c r="A22" s="12" t="s">
        <v>292</v>
      </c>
      <c r="B22" s="9">
        <f>SUM('Annexe - Volume'!D51:D55)</f>
        <v>336</v>
      </c>
      <c r="C22" s="35">
        <f>AVERAGE('Annexe - Volume'!H51:H55)</f>
        <v>19.442530910446369</v>
      </c>
      <c r="D22" s="28">
        <f t="shared" si="2"/>
        <v>5.7864675328709432E-2</v>
      </c>
      <c r="E22" s="58">
        <f>AVERAGE('Annexe - Volume'!K51:K55)</f>
        <v>29.892340633056875</v>
      </c>
      <c r="F22" s="28">
        <f t="shared" si="4"/>
        <v>8.8965299503145467E-2</v>
      </c>
      <c r="G22" s="12" t="s">
        <v>104</v>
      </c>
      <c r="H22" s="55"/>
      <c r="I22" s="79" t="str">
        <f>IF(AVERAGE('Annexe - Volume'!N51:N55)&lt;AVERAGE('Annexe - Volume'!P51:P55),"Effectifs suffisants pour les besoins en 2040","Effectifs insuffisants pour les besoins en 2040")</f>
        <v>Effectifs suffisants pour les besoins en 2040</v>
      </c>
      <c r="J22" s="79" t="str">
        <f>IF(AVERAGE('Annexe - Volume'!O51:O55)&lt;AVERAGE('Annexe - Volume'!Q51:Q55),"Effectifs suffisants pour les besoins en 2040","Effectifs insuffisants pour les besoins en 2040")</f>
        <v>Effectifs insuffisants pour les besoins en 2040</v>
      </c>
    </row>
    <row r="23" spans="1:12" ht="110" customHeight="1" x14ac:dyDescent="0.3">
      <c r="A23" s="12" t="s">
        <v>381</v>
      </c>
      <c r="B23" s="9">
        <f>SUM('Annexe - Volume'!D56:D59)</f>
        <v>191</v>
      </c>
      <c r="C23" s="35">
        <f>AVERAGE('Annexe - Volume'!H56:H59)</f>
        <v>2.6700710294305883</v>
      </c>
      <c r="D23" s="28">
        <f t="shared" si="2"/>
        <v>1.3979429473458578E-2</v>
      </c>
      <c r="E23" s="35">
        <f>AVERAGE('Annexe - Volume'!K56:K59)</f>
        <v>5.1176361397419621</v>
      </c>
      <c r="F23" s="28">
        <f t="shared" si="4"/>
        <v>2.6793906490795612E-2</v>
      </c>
      <c r="G23" s="12" t="s">
        <v>104</v>
      </c>
      <c r="H23" s="15"/>
      <c r="I23" s="79" t="str">
        <f>IF(AVERAGE('Annexe - Volume'!N56:N59)&lt;AVERAGE('Annexe - Volume'!P56:P59),"Effectifs suffisants pour les besoins en 2040","Effectifs insuffisants pour les besoins en 2040")</f>
        <v>Effectifs suffisants pour les besoins en 2040</v>
      </c>
      <c r="J23" s="79" t="str">
        <f>IF(AVERAGE('Annexe - Volume'!O56:O59)&lt;AVERAGE('Annexe - Volume'!Q56:Q59),"Effectifs suffisants pour les besoins en 2040","Effectifs insuffisants pour les besoins en 2040")</f>
        <v>Effectifs suffisants pour les besoins en 2040</v>
      </c>
    </row>
    <row r="24" spans="1:12" ht="118.5" customHeight="1" x14ac:dyDescent="0.3">
      <c r="A24" s="12" t="s">
        <v>398</v>
      </c>
      <c r="B24" s="9">
        <f>SUM('Annexe - Volume'!D60:D64)</f>
        <v>56.9</v>
      </c>
      <c r="C24" s="35">
        <f>AVERAGE('Annexe - Volume'!H60:H64)</f>
        <v>0</v>
      </c>
      <c r="D24" s="28">
        <f t="shared" si="2"/>
        <v>0</v>
      </c>
      <c r="E24" s="35">
        <f>AVERAGE('Annexe - Volume'!K60:K64)</f>
        <v>8.0023824314042731</v>
      </c>
      <c r="F24" s="28">
        <f t="shared" si="4"/>
        <v>0.14063941004225436</v>
      </c>
      <c r="G24" s="12" t="s">
        <v>288</v>
      </c>
      <c r="H24" s="15"/>
      <c r="I24" s="79" t="str">
        <f>IF(AVERAGE('Annexe - Volume'!N60:N64)&lt;AVERAGE('Annexe - Volume'!P60:P64),"Effectifs suffisants pour les besoins en 2040","Effectifs insuffisants pour les besoins en 2040")</f>
        <v>Effectifs insuffisants pour les besoins en 2040</v>
      </c>
      <c r="J24" s="79" t="str">
        <f>IF(AVERAGE('Annexe - Volume'!O60:O64)&lt;AVERAGE('Annexe - Volume'!Q60:Q64),"Effectifs suffisants pour les besoins en 2040","Effectifs insuffisants pour les besoins en 2040")</f>
        <v>Effectifs insuffisants pour les besoins en 2040</v>
      </c>
    </row>
    <row r="25" spans="1:12" ht="84.5" customHeight="1" x14ac:dyDescent="0.3">
      <c r="A25" s="12" t="s">
        <v>382</v>
      </c>
      <c r="B25" s="9">
        <f>SUM('Annexe - Volume'!D65:D67)</f>
        <v>195</v>
      </c>
      <c r="C25" s="35">
        <f>AVERAGE('Annexe - Volume'!H65:H67)</f>
        <v>10.5</v>
      </c>
      <c r="D25" s="28">
        <f t="shared" si="2"/>
        <v>5.3846153846153849E-2</v>
      </c>
      <c r="E25" s="35">
        <f>AVERAGE('Annexe - Volume'!K65:K67)</f>
        <v>10.5</v>
      </c>
      <c r="F25" s="28">
        <f t="shared" si="4"/>
        <v>5.3846153846153849E-2</v>
      </c>
      <c r="G25" s="9" t="s">
        <v>280</v>
      </c>
      <c r="H25" s="15"/>
      <c r="I25" s="79" t="str">
        <f>IF(AVERAGE('Annexe - Volume'!N65:N67)&lt;AVERAGE('Annexe - Volume'!P65:P67),"Effectifs suffisants pour les besoins en 2040","Effectifs insuffisants pour les besoins en 2040")</f>
        <v>Effectifs suffisants pour les besoins en 2040</v>
      </c>
      <c r="J25" s="79" t="str">
        <f>IF(AVERAGE('Annexe - Volume'!O65:O67)&lt;AVERAGE('Annexe - Volume'!Q65:Q67),"Effectifs suffisants pour les besoins en 2040","Effectifs insuffisants pour les besoins en 2040")</f>
        <v>Effectifs suffisants pour les besoins en 2040</v>
      </c>
    </row>
    <row r="26" spans="1:12" ht="84.5" customHeight="1" x14ac:dyDescent="0.3">
      <c r="A26" s="32" t="s">
        <v>383</v>
      </c>
      <c r="B26" s="9">
        <f>SUM('Annexe - Volume'!D68:D71)</f>
        <v>211</v>
      </c>
      <c r="C26" s="35">
        <f>AVERAGE('Annexe - Volume'!H68:H71)</f>
        <v>2.9445768842835682</v>
      </c>
      <c r="D26" s="28">
        <f t="shared" si="2"/>
        <v>1.395534068380838E-2</v>
      </c>
      <c r="E26" s="35">
        <f>AVERAGE('Annexe - Volume'!K68:K71)</f>
        <v>4.0962492239489645</v>
      </c>
      <c r="F26" s="28">
        <f t="shared" si="4"/>
        <v>1.9413503431037746E-2</v>
      </c>
      <c r="G26" s="12" t="s">
        <v>384</v>
      </c>
      <c r="H26" s="15"/>
      <c r="I26" s="79" t="str">
        <f>IF(AVERAGE('Annexe - Volume'!N68:N71)&lt;AVERAGE('Annexe - Volume'!P68:P71),"Effectifs suffisants pour les besoins en 2040","Effectifs insuffisants pour les besoins en 2040")</f>
        <v>Effectifs suffisants pour les besoins en 2040</v>
      </c>
      <c r="J26" s="79" t="str">
        <f>IF(AVERAGE('Annexe - Volume'!O68:O71)&lt;AVERAGE('Annexe - Volume'!Q68:Q71),"Effectifs suffisants pour les besoins en 2040","Effectifs insuffisants pour les besoins en 2040")</f>
        <v>Effectifs suffisants pour les besoins en 2040</v>
      </c>
    </row>
    <row r="27" spans="1:12" ht="84.5" customHeight="1" x14ac:dyDescent="0.3">
      <c r="A27" s="32" t="s">
        <v>297</v>
      </c>
      <c r="B27" s="97" t="s">
        <v>365</v>
      </c>
      <c r="C27" s="35">
        <f>AVERAGE('Annexe - Volume'!H72:H74)</f>
        <v>5.3024236607773689</v>
      </c>
      <c r="D27" s="97" t="s">
        <v>365</v>
      </c>
      <c r="E27" s="35">
        <f>AVERAGE('Annexe - Volume'!K72:K74)</f>
        <v>7.2654258779202578</v>
      </c>
      <c r="F27" s="97" t="s">
        <v>365</v>
      </c>
      <c r="G27" s="12" t="s">
        <v>305</v>
      </c>
      <c r="H27" s="15"/>
      <c r="I27" s="79" t="str">
        <f>IF(AVERAGE('Annexe - Volume'!N72:N76)&lt;AVERAGE('Annexe - Volume'!P72:P74),"Effectifs suffisants pour les besoins en 2040","Effectifs insuffisants pour les besoins en 2040")</f>
        <v>Effectifs suffisants pour les besoins en 2040</v>
      </c>
      <c r="J27" s="79" t="str">
        <f>IF(AVERAGE('Annexe - Volume'!O72:O76)&lt;AVERAGE('Annexe - Volume'!Q72:Q74),"Effectifs suffisants pour les besoins en 2040","Effectifs insuffisants pour les besoins en 2040")</f>
        <v>Effectifs suffisants pour les besoins en 2040</v>
      </c>
    </row>
    <row r="28" spans="1:12" ht="23" customHeight="1" x14ac:dyDescent="0.3">
      <c r="A28" s="297" t="s">
        <v>114</v>
      </c>
      <c r="B28" s="297"/>
      <c r="C28" s="297"/>
      <c r="D28" s="297"/>
      <c r="E28" s="297"/>
      <c r="F28" s="297"/>
      <c r="G28" s="297"/>
      <c r="H28" s="297"/>
      <c r="I28" s="297"/>
      <c r="J28" s="297"/>
    </row>
    <row r="29" spans="1:12" ht="127" customHeight="1" x14ac:dyDescent="0.3">
      <c r="A29" s="32" t="s">
        <v>387</v>
      </c>
      <c r="B29" s="9">
        <f>SUM('Annexe - Volume'!D78:D83)</f>
        <v>198</v>
      </c>
      <c r="C29" s="35">
        <f>AVERAGE('Annexe - Volume'!H78:H83)</f>
        <v>20.210526315789476</v>
      </c>
      <c r="D29" s="131">
        <f t="shared" ref="D29:D37" si="5">C29/B29</f>
        <v>0.10207336523125998</v>
      </c>
      <c r="E29" s="35">
        <f>AVERAGE('Annexe - Volume'!K78:K83)</f>
        <v>20.210526315789476</v>
      </c>
      <c r="F29" s="28">
        <f>E29/B29</f>
        <v>0.10207336523125998</v>
      </c>
      <c r="G29" s="12" t="s">
        <v>307</v>
      </c>
      <c r="H29" s="12" t="s">
        <v>306</v>
      </c>
      <c r="I29" s="79" t="str">
        <f>IF(AVERAGE('Annexe - Volume'!N78:N83)&lt;AVERAGE('Annexe - Volume'!P78:P83),"Effectifs suffisants pour les besoins en 2040","Effectifs insuffisants pour les besoins en 2040")</f>
        <v>Effectifs suffisants pour les besoins en 2040</v>
      </c>
      <c r="J29" s="79" t="str">
        <f>IF(AVERAGE('Annexe - Volume'!O78:O83)&lt;AVERAGE('Annexe - Volume'!Q78:Q83),"Effectifs suffisants pour les besoins en 2040","Effectifs insuffisants pour les besoins en 2040")</f>
        <v>Effectifs suffisants pour les besoins en 2040</v>
      </c>
    </row>
    <row r="30" spans="1:12" ht="104.5" customHeight="1" x14ac:dyDescent="0.3">
      <c r="A30" s="32" t="s">
        <v>188</v>
      </c>
      <c r="B30" s="9">
        <f>SUM('Annexe - Volume'!D84:D87)</f>
        <v>371</v>
      </c>
      <c r="C30" s="35">
        <f>AVERAGE('Annexe - Volume'!H84:H87)</f>
        <v>5.6842105263157894</v>
      </c>
      <c r="D30" s="131">
        <f t="shared" si="5"/>
        <v>1.5321322173357924E-2</v>
      </c>
      <c r="E30" s="35">
        <f>AVERAGE('Annexe - Volume'!K84:K89)</f>
        <v>5.6842105263157885</v>
      </c>
      <c r="F30" s="28">
        <f>E30/B30</f>
        <v>1.532132217335792E-2</v>
      </c>
      <c r="G30" s="12" t="s">
        <v>308</v>
      </c>
      <c r="H30" s="12" t="s">
        <v>306</v>
      </c>
      <c r="I30" s="79" t="str">
        <f>IF(AVERAGE('Annexe - Volume'!N84:N87)&lt;AVERAGE('Annexe - Volume'!P84:P87),"Effectifs suffisants pour les besoins en 2040","Effectifs insuffisants pour les besoins en 2040")</f>
        <v>Effectifs suffisants pour les besoins en 2040</v>
      </c>
      <c r="J30" s="79" t="str">
        <f>IF(AVERAGE('Annexe - Volume'!O84:O87)&lt;AVERAGE('Annexe - Volume'!Q84:Q87),"Effectifs suffisants pour les besoins en 2040","Effectifs insuffisants pour les besoins en 2040")</f>
        <v>Effectifs insuffisants pour les besoins en 2040</v>
      </c>
      <c r="L30" s="54"/>
    </row>
    <row r="31" spans="1:12" ht="71.5" customHeight="1" x14ac:dyDescent="0.3">
      <c r="A31" s="32" t="s">
        <v>388</v>
      </c>
      <c r="B31" s="9">
        <f>SUM('Annexe - Volume'!D88:D89)</f>
        <v>50</v>
      </c>
      <c r="C31" s="35">
        <f>AVERAGE('Annexe - Volume'!H88:H89)</f>
        <v>5.6842105263157894</v>
      </c>
      <c r="D31" s="131">
        <f t="shared" si="5"/>
        <v>0.11368421052631579</v>
      </c>
      <c r="E31" s="35">
        <f>AVERAGE('Annexe - Volume'!K88:K89)</f>
        <v>5.6842105263157894</v>
      </c>
      <c r="F31" s="28">
        <f t="shared" ref="F31:F39" si="6">E31/B31</f>
        <v>0.11368421052631579</v>
      </c>
      <c r="G31" s="12" t="s">
        <v>308</v>
      </c>
      <c r="H31" s="12" t="s">
        <v>306</v>
      </c>
      <c r="I31" s="79" t="str">
        <f>IF(AVERAGE('Annexe - Volume'!N88:N89)&lt;AVERAGE('Annexe - Volume'!P88:P89),"Effectifs suffisants pour les besoins en 2040","Effectifs insuffisants pour les besoins en 2040")</f>
        <v>Effectifs suffisants pour les besoins en 2040</v>
      </c>
      <c r="J31" s="79" t="str">
        <f>IF(AVERAGE('Annexe - Volume'!O88:O89)&lt;AVERAGE('Annexe - Volume'!Q88:Q89),"Effectifs suffisants pour les besoins en 2040","Effectifs insuffisants pour les besoins en 2040")</f>
        <v>Effectifs insuffisants pour les besoins en 2040</v>
      </c>
    </row>
    <row r="32" spans="1:12" ht="115" x14ac:dyDescent="0.3">
      <c r="A32" s="12" t="s">
        <v>389</v>
      </c>
      <c r="B32" s="9">
        <f>SUM('Annexe - Volume'!D90:D95)</f>
        <v>195</v>
      </c>
      <c r="C32" s="35">
        <f>AVERAGE('Annexe - Volume'!H90:H95)</f>
        <v>4.1052631578947372</v>
      </c>
      <c r="D32" s="131">
        <f t="shared" si="5"/>
        <v>2.1052631578947371E-2</v>
      </c>
      <c r="E32" s="35">
        <f>AVERAGE('Annexe - Volume'!K90:K95)</f>
        <v>4.1052631578947372</v>
      </c>
      <c r="F32" s="28">
        <f t="shared" si="6"/>
        <v>2.1052631578947371E-2</v>
      </c>
      <c r="G32" s="12" t="s">
        <v>309</v>
      </c>
      <c r="H32" s="12" t="s">
        <v>306</v>
      </c>
      <c r="I32" s="79" t="str">
        <f>IF(AVERAGE('Annexe - Volume'!N90:N95)&lt;AVERAGE('Annexe - Volume'!P90:P95),"Effectifs suffisants pour les besoins en 2040","Effectifs insuffisants pour les besoins en 2040")</f>
        <v>Effectifs suffisants pour les besoins en 2040</v>
      </c>
      <c r="J32" s="79" t="str">
        <f>IF(AVERAGE('Annexe - Volume'!O90:O95)&lt;AVERAGE('Annexe - Volume'!Q90:Q95),"Effectifs suffisants pour les besoins en 2040","Effectifs insuffisants pour les besoins en 2040")</f>
        <v>Effectifs suffisants pour les besoins en 2040</v>
      </c>
    </row>
    <row r="33" spans="1:10" ht="161" customHeight="1" x14ac:dyDescent="0.3">
      <c r="A33" s="12" t="s">
        <v>390</v>
      </c>
      <c r="B33" s="9">
        <f>SUM('Annexe - Volume'!D96:D102)</f>
        <v>223</v>
      </c>
      <c r="C33" s="35">
        <f>AVERAGE('Annexe - Volume'!H96:H102)</f>
        <v>11.929824561403507</v>
      </c>
      <c r="D33" s="131">
        <f t="shared" si="5"/>
        <v>5.3496971127369987E-2</v>
      </c>
      <c r="E33" s="35">
        <f>AVERAGE('Annexe - Volume'!K96:K102)</f>
        <v>23.859649122807014</v>
      </c>
      <c r="F33" s="28">
        <f t="shared" si="6"/>
        <v>0.10699394225473997</v>
      </c>
      <c r="G33" s="12" t="s">
        <v>285</v>
      </c>
      <c r="H33" s="12" t="s">
        <v>306</v>
      </c>
      <c r="I33" s="79" t="str">
        <f>IF(AVERAGE('Annexe - Volume'!N96:N102)&lt;AVERAGE('Annexe - Volume'!P96:P102),"Effectifs suffisants pour les besoins en 2040","Effectifs insuffisants pour les besoins en 2040")</f>
        <v>Effectifs insuffisants pour les besoins en 2040</v>
      </c>
      <c r="J33" s="79" t="str">
        <f>IF(AVERAGE('Annexe - Volume'!O96:O102)&lt;AVERAGE('Annexe - Volume'!Q96:Q102),"Effectifs suffisants pour les besoins en 2040","Effectifs insuffisants pour les besoins en 2040")</f>
        <v>Effectifs suffisants pour les besoins en 2040</v>
      </c>
    </row>
    <row r="34" spans="1:10" ht="122" customHeight="1" x14ac:dyDescent="0.3">
      <c r="A34" s="32" t="s">
        <v>391</v>
      </c>
      <c r="B34" s="9">
        <f>SUM('Annexe - Volume'!D103:D107)</f>
        <v>93</v>
      </c>
      <c r="C34" s="35">
        <f>AVERAGE('Annexe - Volume'!H103:H107)</f>
        <v>2.1953628676877326</v>
      </c>
      <c r="D34" s="131">
        <f t="shared" si="5"/>
        <v>2.3606052340728309E-2</v>
      </c>
      <c r="E34" s="35">
        <f>AVERAGE('Annexe - Volume'!K103:K107)</f>
        <v>3.4962384319262609</v>
      </c>
      <c r="F34" s="28">
        <f t="shared" si="6"/>
        <v>3.7593961633615711E-2</v>
      </c>
      <c r="G34" s="12" t="s">
        <v>307</v>
      </c>
      <c r="H34" s="12" t="s">
        <v>306</v>
      </c>
      <c r="I34" s="79" t="str">
        <f>IF(AVERAGE('Annexe - Volume'!N103:N107)&lt;AVERAGE('Annexe - Volume'!P103:P107),"Effectifs suffisants pour les besoins en 2040","Effectifs insuffisants pour les besoins en 2040")</f>
        <v>Effectifs suffisants pour les besoins en 2040</v>
      </c>
      <c r="J34" s="79" t="str">
        <f>IF(AVERAGE('Annexe - Volume'!O103:O107)&lt;AVERAGE('Annexe - Volume'!Q103:Q107),"Effectifs suffisants pour les besoins en 2040","Effectifs insuffisants pour les besoins en 2040")</f>
        <v>Effectifs suffisants pour les besoins en 2040</v>
      </c>
    </row>
    <row r="35" spans="1:10" ht="86" x14ac:dyDescent="0.3">
      <c r="A35" s="12" t="s">
        <v>392</v>
      </c>
      <c r="B35" s="9">
        <f>SUM('Annexe - Volume'!D108:D111)</f>
        <v>148</v>
      </c>
      <c r="C35" s="35">
        <f>AVERAGE('Annexe - Volume'!H108:H111)</f>
        <v>1.3006450805987388</v>
      </c>
      <c r="D35" s="131">
        <f t="shared" si="5"/>
        <v>8.7881424364779654E-3</v>
      </c>
      <c r="E35" s="35">
        <f>AVERAGE('Annexe - Volume'!K108:K111)</f>
        <v>3.0631824233743035</v>
      </c>
      <c r="F35" s="28">
        <f t="shared" si="6"/>
        <v>2.0697178536312862E-2</v>
      </c>
      <c r="G35" s="12" t="s">
        <v>104</v>
      </c>
      <c r="H35" s="12" t="s">
        <v>306</v>
      </c>
      <c r="I35" s="79" t="str">
        <f>IF(AVERAGE('Annexe - Volume'!N108:N111)&lt;AVERAGE('Annexe - Volume'!P108:P111),"Effectifs suffisants pour les besoins en 2040","Effectifs insuffisants pour les besoins en 2040")</f>
        <v>Effectifs suffisants pour les besoins en 2040</v>
      </c>
      <c r="J35" s="79" t="str">
        <f>IF(AVERAGE('Annexe - Volume'!O108:O111)&lt;AVERAGE('Annexe - Volume'!Q108:Q111),"Effectifs suffisants pour les besoins en 2040","Effectifs insuffisants pour les besoins en 2040")</f>
        <v>Effectifs suffisants pour les besoins en 2040</v>
      </c>
    </row>
    <row r="36" spans="1:10" ht="65.5" customHeight="1" x14ac:dyDescent="0.3">
      <c r="A36" s="12" t="s">
        <v>343</v>
      </c>
      <c r="B36" s="9">
        <f>'Annexe - Volume'!D112</f>
        <v>54</v>
      </c>
      <c r="C36" s="35">
        <f>'Annexe - Volume'!H112</f>
        <v>1.3006450805987388</v>
      </c>
      <c r="D36" s="131">
        <f t="shared" si="5"/>
        <v>2.4086020011087755E-2</v>
      </c>
      <c r="E36" s="35">
        <f>'Annexe - Volume'!K112</f>
        <v>3.0631824233743035</v>
      </c>
      <c r="F36" s="28">
        <f t="shared" si="6"/>
        <v>5.6725600432857473E-2</v>
      </c>
      <c r="G36" s="12" t="s">
        <v>104</v>
      </c>
      <c r="H36" s="12" t="s">
        <v>306</v>
      </c>
      <c r="I36" s="79" t="str">
        <f>IF('Annexe - Volume'!N112&lt;'Annexe - Volume'!P112,"Effectifs suffisants pour les besoins en 2040","Effectifs insuffisants pour les besoins en 2040")</f>
        <v>Effectifs suffisants pour les besoins en 2040</v>
      </c>
      <c r="J36" s="79" t="str">
        <f>IF('Annexe - Volume'!O112&lt;'Annexe - Volume'!Q112,"Effectifs suffisants pour les besoins en 2040","Effectifs insuffisants pour les besoins en 2040")</f>
        <v>Effectifs suffisants pour les besoins en 2040</v>
      </c>
    </row>
    <row r="37" spans="1:10" ht="57.5" x14ac:dyDescent="0.3">
      <c r="A37" s="12" t="s">
        <v>393</v>
      </c>
      <c r="B37" s="9">
        <f>SUM('Annexe - Volume'!D113:D115)</f>
        <v>54</v>
      </c>
      <c r="C37" s="35">
        <f>AVERAGE('Annexe - Volume'!H113:H115)</f>
        <v>3.7594050880626226</v>
      </c>
      <c r="D37" s="131">
        <f t="shared" si="5"/>
        <v>6.9618612741900412E-2</v>
      </c>
      <c r="E37" s="35">
        <f>AVERAGE('Annexe - Volume'!K113:K115)</f>
        <v>5.5440052185257658</v>
      </c>
      <c r="F37" s="28">
        <f t="shared" si="6"/>
        <v>0.10266676330603269</v>
      </c>
      <c r="G37" s="12" t="s">
        <v>104</v>
      </c>
      <c r="H37" s="12" t="s">
        <v>306</v>
      </c>
      <c r="I37" s="79" t="str">
        <f>IF(AVERAGE('Annexe - Volume'!N113:N115)&lt;AVERAGE('Annexe - Volume'!P113:P115),"Effectifs suffisants pour les besoins en 2040","Effectifs insuffisants pour les besoins en 2040")</f>
        <v>Effectifs suffisants pour les besoins en 2040</v>
      </c>
      <c r="J37" s="79" t="str">
        <f>IF(AVERAGE('Annexe - Volume'!O113:O115)&lt;AVERAGE('Annexe - Volume'!Q113:Q115),"Effectifs suffisants pour les besoins en 2040","Effectifs insuffisants pour les besoins en 2040")</f>
        <v>Effectifs insuffisants pour les besoins en 2040</v>
      </c>
    </row>
    <row r="38" spans="1:10" ht="164" customHeight="1" x14ac:dyDescent="0.3">
      <c r="A38" s="12" t="s">
        <v>191</v>
      </c>
      <c r="B38" s="9">
        <f>SUM('Annexe - Volume'!D116:D120)</f>
        <v>368</v>
      </c>
      <c r="C38" s="35">
        <f>AVERAGE('Annexe - Volume'!H116:H120)</f>
        <v>2.6108186555775728</v>
      </c>
      <c r="D38" s="131">
        <f t="shared" ref="D38:D39" si="7">C38/B38</f>
        <v>7.0946159118955784E-3</v>
      </c>
      <c r="E38" s="35">
        <f>AVERAGE('Annexe - Volume'!K116:K120)</f>
        <v>2.7875136456088807</v>
      </c>
      <c r="F38" s="28">
        <f t="shared" si="6"/>
        <v>7.57476534132848E-3</v>
      </c>
      <c r="G38" s="12" t="s">
        <v>307</v>
      </c>
      <c r="H38" s="12" t="s">
        <v>386</v>
      </c>
      <c r="I38" s="79" t="str">
        <f>IF(AVERAGE('Annexe - Volume'!N116:N120)&lt;AVERAGE('Annexe - Volume'!P116:P120),"Effectifs suffisants pour les besoins en 2040","Effectifs insuffisants pour les besoins en 2040")</f>
        <v>Effectifs suffisants pour les besoins en 2040</v>
      </c>
      <c r="J38" s="79" t="str">
        <f>IF(AVERAGE('Annexe - Volume'!O116:O120)&lt;AVERAGE('Annexe - Volume'!Q116:Q120),"Effectifs suffisants pour les besoins en 2040","Effectifs insuffisants pour les besoins en 2040")</f>
        <v>Effectifs suffisants pour les besoins en 2040</v>
      </c>
    </row>
    <row r="39" spans="1:10" ht="98" customHeight="1" x14ac:dyDescent="0.3">
      <c r="A39" s="12" t="s">
        <v>420</v>
      </c>
      <c r="B39" s="9">
        <f>SUM('Annexe - Volume'!D121:D124)</f>
        <v>93</v>
      </c>
      <c r="C39" s="35">
        <f>AVERAGE('Annexe - Volume'!H121:H124)</f>
        <v>10.105263157894736</v>
      </c>
      <c r="D39" s="131">
        <f t="shared" si="7"/>
        <v>0.10865874363327674</v>
      </c>
      <c r="E39" s="35">
        <f>AVERAGE('Annexe - Volume'!K121:K124)</f>
        <v>10.105263157894736</v>
      </c>
      <c r="F39" s="28">
        <f t="shared" si="6"/>
        <v>0.10865874363327674</v>
      </c>
      <c r="G39" s="9" t="s">
        <v>280</v>
      </c>
      <c r="H39" s="12" t="s">
        <v>306</v>
      </c>
      <c r="I39" s="79" t="str">
        <f>IF(AVERAGE('Annexe - Volume'!N121:N124)&lt;AVERAGE('Annexe - Volume'!P121:P124),"Effectifs suffisants pour les besoins en 2040","Effectifs insuffisants pour les besoins en 2040")</f>
        <v>Effectifs suffisants pour les besoins en 2040</v>
      </c>
      <c r="J39" s="79" t="str">
        <f>IF(AVERAGE('Annexe - Volume'!O121:O124)&lt;AVERAGE('Annexe - Volume'!Q121:Q124),"Effectifs suffisants pour les besoins en 2040","Effectifs insuffisants pour les besoins en 2040")</f>
        <v>Effectifs suffisants pour les besoins en 2040</v>
      </c>
    </row>
    <row r="40" spans="1:10" x14ac:dyDescent="0.3">
      <c r="A40" s="132"/>
      <c r="B40" s="132"/>
      <c r="C40" s="132"/>
      <c r="D40" s="132"/>
      <c r="E40" s="132"/>
      <c r="F40" s="132"/>
      <c r="G40" s="132"/>
      <c r="H40" s="132"/>
      <c r="I40" s="132"/>
      <c r="J40" s="132"/>
    </row>
    <row r="60" spans="5:5" x14ac:dyDescent="0.3">
      <c r="E60" s="54"/>
    </row>
    <row r="61" spans="5:5" x14ac:dyDescent="0.3">
      <c r="E61" s="54"/>
    </row>
  </sheetData>
  <mergeCells count="12">
    <mergeCell ref="A28:J28"/>
    <mergeCell ref="K1:L1"/>
    <mergeCell ref="I1:J1"/>
    <mergeCell ref="H1:H2"/>
    <mergeCell ref="A1:A2"/>
    <mergeCell ref="B1:B2"/>
    <mergeCell ref="G1:G2"/>
    <mergeCell ref="C1:D1"/>
    <mergeCell ref="E1:F1"/>
    <mergeCell ref="A12:J12"/>
    <mergeCell ref="A3:J3"/>
    <mergeCell ref="L4:L13"/>
  </mergeCells>
  <conditionalFormatting sqref="I4:J11">
    <cfRule type="cellIs" dxfId="13" priority="7" operator="equal">
      <formula>"Effectifs insuffisants pour les besoins en 2040"</formula>
    </cfRule>
    <cfRule type="cellIs" dxfId="12" priority="8" operator="equal">
      <formula>"Effectifs suffisants pour les besoins en 2040"</formula>
    </cfRule>
  </conditionalFormatting>
  <conditionalFormatting sqref="I13:J27">
    <cfRule type="cellIs" dxfId="11" priority="3" operator="equal">
      <formula>"Effectifs insuffisants pour les besoins en 2040"</formula>
    </cfRule>
    <cfRule type="cellIs" dxfId="10" priority="4" operator="equal">
      <formula>"Effectifs suffisants pour les besoins en 2040"</formula>
    </cfRule>
  </conditionalFormatting>
  <conditionalFormatting sqref="I29:J39">
    <cfRule type="cellIs" dxfId="9" priority="1" operator="equal">
      <formula>"Effectifs insuffisants pour les besoins en 2040"</formula>
    </cfRule>
    <cfRule type="cellIs" dxfId="8" priority="2" operator="equal">
      <formula>"Effectifs suffisants pour les besoins en 2040"</formula>
    </cfRule>
  </conditionalFormatting>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67F8-750F-43F1-A85F-9A6F7196B690}">
  <dimension ref="A1:Q45"/>
  <sheetViews>
    <sheetView showGridLines="0" zoomScale="80" zoomScaleNormal="80" workbookViewId="0">
      <selection activeCell="U10" sqref="U10"/>
    </sheetView>
  </sheetViews>
  <sheetFormatPr baseColWidth="10" defaultRowHeight="14" x14ac:dyDescent="0.3"/>
  <cols>
    <col min="1" max="1" width="60.25" customWidth="1"/>
    <col min="2" max="2" width="13.83203125" customWidth="1"/>
    <col min="3" max="3" width="35.58203125" customWidth="1"/>
    <col min="4" max="5" width="23.6640625" customWidth="1"/>
    <col min="6" max="7" width="24.1640625" customWidth="1"/>
    <col min="8" max="8" width="33" customWidth="1"/>
    <col min="9" max="9" width="35.33203125" customWidth="1"/>
    <col min="10" max="11" width="27" customWidth="1"/>
    <col min="12" max="12" width="21.08203125" customWidth="1"/>
    <col min="13" max="13" width="91.5" customWidth="1"/>
    <col min="14" max="14" width="19.1640625" customWidth="1"/>
  </cols>
  <sheetData>
    <row r="1" spans="1:17" x14ac:dyDescent="0.3">
      <c r="A1" s="301" t="s">
        <v>373</v>
      </c>
      <c r="B1" s="301" t="s">
        <v>10</v>
      </c>
      <c r="C1" s="315" t="s">
        <v>426</v>
      </c>
      <c r="D1" s="303" t="s">
        <v>21</v>
      </c>
      <c r="E1" s="303"/>
      <c r="F1" s="304" t="s">
        <v>28</v>
      </c>
      <c r="G1" s="304"/>
      <c r="H1" s="318" t="s">
        <v>20</v>
      </c>
      <c r="I1" s="300" t="s">
        <v>26</v>
      </c>
      <c r="J1" s="299" t="s">
        <v>348</v>
      </c>
      <c r="K1" s="299"/>
      <c r="L1" s="317"/>
      <c r="M1" s="317"/>
    </row>
    <row r="2" spans="1:17" ht="65" customHeight="1" x14ac:dyDescent="0.3">
      <c r="A2" s="301"/>
      <c r="B2" s="301"/>
      <c r="C2" s="315"/>
      <c r="D2" s="7" t="s">
        <v>220</v>
      </c>
      <c r="E2" s="7" t="s">
        <v>24</v>
      </c>
      <c r="F2" s="8" t="s">
        <v>220</v>
      </c>
      <c r="G2" s="8" t="s">
        <v>24</v>
      </c>
      <c r="H2" s="318"/>
      <c r="I2" s="300"/>
      <c r="J2" s="174" t="s">
        <v>349</v>
      </c>
      <c r="K2" s="174" t="s">
        <v>350</v>
      </c>
      <c r="L2" s="282">
        <f>210/2712</f>
        <v>7.7433628318584066E-2</v>
      </c>
    </row>
    <row r="3" spans="1:17" ht="36.5" customHeight="1" x14ac:dyDescent="0.3">
      <c r="A3" s="308" t="s">
        <v>100</v>
      </c>
      <c r="B3" s="309"/>
      <c r="C3" s="309"/>
      <c r="D3" s="309"/>
      <c r="E3" s="309"/>
      <c r="F3" s="309"/>
      <c r="G3" s="309"/>
      <c r="H3" s="309"/>
      <c r="I3" s="309"/>
      <c r="J3" s="309"/>
      <c r="K3" s="310"/>
    </row>
    <row r="4" spans="1:17" ht="67.5" customHeight="1" x14ac:dyDescent="0.3">
      <c r="A4" s="12" t="s">
        <v>394</v>
      </c>
      <c r="B4" s="23">
        <f>SUM('Annexe - Contenu'!D4:D5)</f>
        <v>118</v>
      </c>
      <c r="C4" s="32" t="s">
        <v>172</v>
      </c>
      <c r="D4" s="33">
        <f>AVERAGE('Annexe - Contenu'!I4:I5)</f>
        <v>77.412244897959198</v>
      </c>
      <c r="E4" s="28">
        <f>D4/B4</f>
        <v>0.65603597371151867</v>
      </c>
      <c r="F4" s="33">
        <f>AVERAGE('Annexe - Contenu'!L4:L5)</f>
        <v>135.47142857142859</v>
      </c>
      <c r="G4" s="28">
        <f>F4/B4</f>
        <v>1.1480629539951575</v>
      </c>
      <c r="H4" s="12" t="s">
        <v>313</v>
      </c>
      <c r="I4" s="15"/>
      <c r="J4" s="79" t="str">
        <f>IF(AVERAGE('Annexe - Contenu'!O4:O5)&lt;AVERAGE('Annexe - Contenu'!Q4:Q5),"Effectifs suffisants pour les besoins en 2040","Effectifs insuffisants pour les besoins en 2040")</f>
        <v>Effectifs insuffisants pour les besoins en 2040</v>
      </c>
      <c r="K4" s="79" t="str">
        <f>IF(AVERAGE('Annexe - Contenu'!P4:P5)&lt;AVERAGE('Annexe - Contenu'!R4:R5),"Effectifs suffisants pour les besoins en 2040","Effectifs insuffisants pour les besoins en 2040")</f>
        <v>Effectifs insuffisants pour les besoins en 2040</v>
      </c>
      <c r="L4" s="62"/>
    </row>
    <row r="5" spans="1:17" ht="66.5" customHeight="1" x14ac:dyDescent="0.3">
      <c r="A5" s="12" t="s">
        <v>395</v>
      </c>
      <c r="B5" s="23">
        <f>SUM('Annexe - Contenu'!F6:F7)</f>
        <v>2903.25</v>
      </c>
      <c r="C5" s="32" t="s">
        <v>172</v>
      </c>
      <c r="D5" s="33">
        <f>AVERAGE('Annexe - Contenu'!I6:I7)</f>
        <v>46.193793211161989</v>
      </c>
      <c r="E5" s="28">
        <f>D5/B5</f>
        <v>1.5911062847209848E-2</v>
      </c>
      <c r="F5" s="33">
        <f>AVERAGE('Annexe - Contenu'!L6:L7)</f>
        <v>68.791055810079158</v>
      </c>
      <c r="G5" s="28">
        <f>F5/B5</f>
        <v>2.3694499547086596E-2</v>
      </c>
      <c r="H5" s="12" t="s">
        <v>313</v>
      </c>
      <c r="I5" s="15"/>
      <c r="J5" s="79" t="str">
        <f>IF(AVERAGE('Annexe - Contenu'!O6:O7)&lt;AVERAGE('Annexe - Contenu'!Q6:Q7),"Effectifs suffisants pour les besoins en 2040","Effectifs insuffisants pour les besoins en 2040")</f>
        <v>Effectifs suffisants pour les besoins en 2040</v>
      </c>
      <c r="K5" s="79" t="str">
        <f>IF(AVERAGE('Annexe - Contenu'!P6:P7)&lt;AVERAGE('Annexe - Contenu'!R6:R7),"Effectifs suffisants pour les besoins en 2040","Effectifs insuffisants pour les besoins en 2040")</f>
        <v>Effectifs insuffisants pour les besoins en 2040</v>
      </c>
      <c r="L5" s="62"/>
      <c r="N5" s="62"/>
      <c r="O5" s="62"/>
      <c r="P5" s="62"/>
    </row>
    <row r="6" spans="1:17" ht="77" customHeight="1" x14ac:dyDescent="0.3">
      <c r="A6" s="12" t="s">
        <v>397</v>
      </c>
      <c r="B6" s="9">
        <f>SUM('Annexe - Contenu'!D8:D9)</f>
        <v>36</v>
      </c>
      <c r="C6" s="27" t="s">
        <v>172</v>
      </c>
      <c r="D6" s="33">
        <f>AVERAGE('Annexe - Contenu'!I8:I9)</f>
        <v>2.3037579831932775</v>
      </c>
      <c r="E6" s="28">
        <f t="shared" ref="E6:E8" si="0">D6/B6</f>
        <v>6.3993277310924371E-2</v>
      </c>
      <c r="F6" s="33">
        <f>AVERAGE('Annexe - Contenu'!L8:L9)</f>
        <v>4.607515966386555</v>
      </c>
      <c r="G6" s="28">
        <f>F6/B6</f>
        <v>0.12798655462184874</v>
      </c>
      <c r="H6" s="12" t="s">
        <v>401</v>
      </c>
      <c r="I6" s="15"/>
      <c r="J6" s="79" t="str">
        <f>IF(AVERAGE('Annexe - Contenu'!O8:O9)&lt;AVERAGE('Annexe - Contenu'!Q8:Q9),"Effectifs suffisants pour les besoins en 2040","Effectifs insuffisants pour les besoins en 2040")</f>
        <v>Effectifs suffisants pour les besoins en 2040</v>
      </c>
      <c r="K6" s="79" t="str">
        <f>IF(AVERAGE('Annexe - Contenu'!P8:P9)&lt;AVERAGE('Annexe - Contenu'!R8:R9),"Effectifs suffisants pour les besoins en 2040","Effectifs insuffisants pour les besoins en 2040")</f>
        <v>Effectifs suffisants pour les besoins en 2040</v>
      </c>
      <c r="N6" s="62"/>
      <c r="O6" s="62"/>
      <c r="P6" s="62"/>
    </row>
    <row r="7" spans="1:17" ht="56" customHeight="1" x14ac:dyDescent="0.3">
      <c r="A7" s="12" t="s">
        <v>396</v>
      </c>
      <c r="B7" s="9">
        <f>SUM('Annexe - Contenu'!D10:D12)</f>
        <v>1059</v>
      </c>
      <c r="C7" s="27" t="s">
        <v>172</v>
      </c>
      <c r="D7" s="33">
        <f>AVERAGE('Annexe - Contenu'!I10:I12)</f>
        <v>6.4652777777777786</v>
      </c>
      <c r="E7" s="28">
        <f t="shared" si="0"/>
        <v>6.1050781659846825E-3</v>
      </c>
      <c r="F7" s="33">
        <f>AVERAGE('Annexe - Contenu'!L10:L12)</f>
        <v>29.54866161616162</v>
      </c>
      <c r="G7" s="28">
        <f t="shared" ref="G7:G8" si="1">F7/B7</f>
        <v>2.7902418901002476E-2</v>
      </c>
      <c r="H7" s="12" t="s">
        <v>101</v>
      </c>
      <c r="I7" s="15"/>
      <c r="J7" s="79" t="str">
        <f>IF(AVERAGE('Annexe - Contenu'!O10:O12)&lt;AVERAGE('Annexe - Contenu'!Q10:Q12),"Effectifs suffisants pour les besoins en 2040","Effectifs insuffisants pour les besoins en 2040")</f>
        <v>Effectifs insuffisants pour les besoins en 2040</v>
      </c>
      <c r="K7" s="79" t="str">
        <f>IF(AVERAGE('Annexe - Contenu'!P10:P12)&lt;AVERAGE('Annexe - Contenu'!R10:R12),"Effectifs suffisants pour les besoins en 2040","Effectifs insuffisants pour les besoins en 2040")</f>
        <v>Effectifs insuffisants pour les besoins en 2040</v>
      </c>
      <c r="N7" s="54"/>
    </row>
    <row r="8" spans="1:17" ht="79" customHeight="1" x14ac:dyDescent="0.3">
      <c r="A8" s="219" t="s">
        <v>399</v>
      </c>
      <c r="B8" s="115">
        <f>'Annexe - Contenu'!D11</f>
        <v>400</v>
      </c>
      <c r="C8" s="255" t="s">
        <v>216</v>
      </c>
      <c r="D8" s="141">
        <f>'Annexe - Contenu'!I13</f>
        <v>4.6708375153249966</v>
      </c>
      <c r="E8" s="256">
        <f t="shared" si="0"/>
        <v>1.1677093788312491E-2</v>
      </c>
      <c r="F8" s="141">
        <f>'Annexe - Contenu'!L13</f>
        <v>8.1601898752064095</v>
      </c>
      <c r="G8" s="256">
        <f t="shared" si="1"/>
        <v>2.0400474688016024E-2</v>
      </c>
      <c r="H8" s="219" t="s">
        <v>104</v>
      </c>
      <c r="I8" s="257"/>
      <c r="J8" s="79" t="str">
        <f>IF('Annexe - Contenu'!O13&lt;'Annexe - Contenu'!Q13,"Effectifs suffisants pour les besoins en 2040","Effectifs insuffisants pour les besoins en 2040")</f>
        <v>Effectifs suffisants pour les besoins en 2040</v>
      </c>
      <c r="K8" s="79" t="str">
        <f>IF('Annexe - Contenu'!P13&lt;'Annexe - Contenu'!R13,"Effectifs suffisants pour les besoins en 2040","Effectifs insuffisants pour les besoins en 2040")</f>
        <v>Effectifs insuffisants pour les besoins en 2040</v>
      </c>
    </row>
    <row r="9" spans="1:17" ht="31.5" customHeight="1" x14ac:dyDescent="0.3">
      <c r="A9" s="316" t="s">
        <v>332</v>
      </c>
      <c r="B9" s="316"/>
      <c r="C9" s="316"/>
      <c r="D9" s="316"/>
      <c r="E9" s="316"/>
      <c r="F9" s="316"/>
      <c r="G9" s="316"/>
      <c r="H9" s="316"/>
      <c r="I9" s="316"/>
      <c r="J9" s="316"/>
      <c r="K9" s="316"/>
    </row>
    <row r="10" spans="1:17" ht="94" customHeight="1" x14ac:dyDescent="0.3">
      <c r="A10" s="29" t="s">
        <v>400</v>
      </c>
      <c r="B10" s="225">
        <f>SUM('Annexe - Contenu'!D15:D18)</f>
        <v>62</v>
      </c>
      <c r="C10" s="258" t="s">
        <v>172</v>
      </c>
      <c r="D10" s="259">
        <f>AVERAGE('Annexe - Contenu'!I15:I18)</f>
        <v>5.9578453453453459</v>
      </c>
      <c r="E10" s="221">
        <f>D10/B10</f>
        <v>9.6094279763634619E-2</v>
      </c>
      <c r="F10" s="259">
        <f>AVERAGE('Annexe - Contenu'!L15:L18)</f>
        <v>10.426229354354355</v>
      </c>
      <c r="G10" s="221">
        <f>F10/B10</f>
        <v>0.16816498958636056</v>
      </c>
      <c r="H10" s="29" t="s">
        <v>104</v>
      </c>
      <c r="I10" s="225"/>
      <c r="J10" s="79" t="str">
        <f>IF(AVERAGE('Annexe - Contenu'!O15:O18)&lt;AVERAGE('Annexe - Contenu'!Q15:Q18),"Effectifs suffisants pour les besoins en 2040","Effectifs insuffisants pour les besoins en 2040")</f>
        <v>Effectifs insuffisants pour les besoins en 2040</v>
      </c>
      <c r="K10" s="79" t="str">
        <f>IF(AVERAGE('Annexe - Contenu'!P15:P18)&lt;AVERAGE('Annexe - Contenu'!R15:R18),"Effectifs suffisants pour les besoins en 2040","Effectifs insuffisants pour les besoins en 2040")</f>
        <v>Effectifs insuffisants pour les besoins en 2040</v>
      </c>
      <c r="L10" s="62"/>
      <c r="O10" s="62"/>
      <c r="P10" s="62"/>
      <c r="Q10" s="62"/>
    </row>
    <row r="11" spans="1:17" ht="107" customHeight="1" x14ac:dyDescent="0.3">
      <c r="A11" s="32" t="s">
        <v>402</v>
      </c>
      <c r="B11" s="9">
        <f>SUM('Annexe - Contenu'!D19:D23)</f>
        <v>197</v>
      </c>
      <c r="C11" s="32" t="s">
        <v>172</v>
      </c>
      <c r="D11" s="33">
        <f>AVERAGE('Annexe - Contenu'!I19:I23)</f>
        <v>3.0446139335317444</v>
      </c>
      <c r="E11" s="28">
        <f t="shared" ref="E11:E25" si="2">D11/B11</f>
        <v>1.5454893063612916E-2</v>
      </c>
      <c r="F11" s="33">
        <f>AVERAGE('Annexe - Contenu'!L19:L23)</f>
        <v>4.5339902281746047</v>
      </c>
      <c r="G11" s="28">
        <f t="shared" ref="G11:G25" si="3">F11/B11</f>
        <v>2.3015178823221343E-2</v>
      </c>
      <c r="H11" s="12" t="s">
        <v>104</v>
      </c>
      <c r="I11" s="9"/>
      <c r="J11" s="79" t="str">
        <f>IF(AVERAGE('Annexe - Contenu'!O19:O23)&lt;AVERAGE('Annexe - Contenu'!Q19:Q23),"Effectifs suffisants pour les besoins en 2040","Effectifs insuffisants pour les besoins en 2040")</f>
        <v>Effectifs suffisants pour les besoins en 2040</v>
      </c>
      <c r="K11" s="79" t="str">
        <f>IF(AVERAGE('Annexe - Contenu'!P19:P23)&lt;AVERAGE('Annexe - Contenu'!R19:R23),"Effectifs suffisants pour les besoins en 2040","Effectifs insuffisants pour les besoins en 2040")</f>
        <v>Effectifs insuffisants pour les besoins en 2040</v>
      </c>
      <c r="L11" s="62"/>
      <c r="O11" s="62"/>
      <c r="P11" s="62"/>
      <c r="Q11" s="62"/>
    </row>
    <row r="12" spans="1:17" ht="92" customHeight="1" x14ac:dyDescent="0.3">
      <c r="A12" s="12" t="s">
        <v>113</v>
      </c>
      <c r="B12" s="9">
        <f>SUM('Annexe - Contenu'!D24:D26)</f>
        <v>91</v>
      </c>
      <c r="C12" s="32" t="s">
        <v>172</v>
      </c>
      <c r="D12" s="33">
        <f>AVERAGE('Annexe - Contenu'!I24:I26)</f>
        <v>0.1577712383770076</v>
      </c>
      <c r="E12" s="28">
        <f t="shared" si="2"/>
        <v>1.7337498722748087E-3</v>
      </c>
      <c r="F12" s="33">
        <f>AVERAGE('Annexe - Contenu'!L24:L26)</f>
        <v>0.3155424767540152</v>
      </c>
      <c r="G12" s="28">
        <f t="shared" si="3"/>
        <v>3.4674997445496175E-3</v>
      </c>
      <c r="H12" s="12" t="s">
        <v>324</v>
      </c>
      <c r="I12" s="9"/>
      <c r="J12" s="79" t="str">
        <f>IF(AVERAGE('Annexe - Contenu'!O24:O26)&lt;AVERAGE('Annexe - Contenu'!Q24:Q26),"Effectifs suffisants pour les besoins en 2040","Effectifs insuffisants pour les besoins en 2040")</f>
        <v>Effectifs suffisants pour les besoins en 2040</v>
      </c>
      <c r="K12" s="79" t="str">
        <f>IF(AVERAGE('Annexe - Contenu'!P24:P26)&lt;AVERAGE('Annexe - Contenu'!R24:R26),"Effectifs suffisants pour les besoins en 2040","Effectifs insuffisants pour les besoins en 2040")</f>
        <v>Effectifs suffisants pour les besoins en 2040</v>
      </c>
      <c r="L12" s="62"/>
      <c r="O12" s="62"/>
      <c r="P12" s="62"/>
      <c r="Q12" s="62"/>
    </row>
    <row r="13" spans="1:17" ht="88.5" customHeight="1" x14ac:dyDescent="0.3">
      <c r="A13" s="32" t="s">
        <v>403</v>
      </c>
      <c r="B13" s="9">
        <f>SUM('Annexe - Contenu'!D27:D28)</f>
        <v>58</v>
      </c>
      <c r="C13" s="32" t="s">
        <v>172</v>
      </c>
      <c r="D13" s="33">
        <f>'Annexe - Contenu'!I28</f>
        <v>0.58187500000000003</v>
      </c>
      <c r="E13" s="28">
        <f t="shared" si="2"/>
        <v>1.0032327586206898E-2</v>
      </c>
      <c r="F13" s="33">
        <f>'Annexe - Contenu'!L28</f>
        <v>2.2531250000000003</v>
      </c>
      <c r="G13" s="28">
        <f t="shared" si="3"/>
        <v>3.8846982758620696E-2</v>
      </c>
      <c r="H13" s="12" t="s">
        <v>325</v>
      </c>
      <c r="I13" s="12"/>
      <c r="J13" s="79" t="str">
        <f>IF(AVERAGE('Annexe - Contenu'!O27:O28)&lt;AVERAGE('Annexe - Contenu'!Q27:Q28),"Effectifs suffisants pour les besoins en 2040","Effectifs insuffisants pour les besoins en 2040")</f>
        <v>Effectifs insuffisants pour les besoins en 2040</v>
      </c>
      <c r="K13" s="79" t="str">
        <f>IF(AVERAGE('Annexe - Contenu'!P27:P28)&lt;AVERAGE('Annexe - Contenu'!R27:R28),"Effectifs suffisants pour les besoins en 2040","Effectifs insuffisants pour les besoins en 2040")</f>
        <v>Effectifs insuffisants pour les besoins en 2040</v>
      </c>
      <c r="L13" s="62"/>
      <c r="O13" s="62"/>
      <c r="P13" s="62"/>
      <c r="Q13" s="62"/>
    </row>
    <row r="14" spans="1:17" ht="114" customHeight="1" x14ac:dyDescent="0.3">
      <c r="A14" s="12" t="s">
        <v>404</v>
      </c>
      <c r="B14" s="9">
        <f>SUM('Annexe - Contenu'!D29:D31)</f>
        <v>426</v>
      </c>
      <c r="C14" s="32" t="s">
        <v>173</v>
      </c>
      <c r="D14" s="33">
        <f>AVERAGE('Annexe - Contenu'!I29:I31)</f>
        <v>34.940002042483663</v>
      </c>
      <c r="E14" s="28">
        <f t="shared" si="2"/>
        <v>8.2018784137285597E-2</v>
      </c>
      <c r="F14" s="33">
        <f>AVERAGE('Annexe - Contenu'!L29:L31)</f>
        <v>34.940002042483663</v>
      </c>
      <c r="G14" s="28">
        <f t="shared" si="3"/>
        <v>8.2018784137285597E-2</v>
      </c>
      <c r="H14" s="12" t="s">
        <v>327</v>
      </c>
      <c r="I14" s="12" t="s">
        <v>385</v>
      </c>
      <c r="J14" s="79" t="str">
        <f>IF(AVERAGE('Annexe - Contenu'!O29:O31)&lt;AVERAGE('Annexe - Contenu'!Q29:Q31),"Effectifs suffisants pour les besoins en 2040","Effectifs insuffisants pour les besoins en 2040")</f>
        <v>Effectifs suffisants pour les besoins en 2040</v>
      </c>
      <c r="K14" s="79" t="str">
        <f>IF(AVERAGE('Annexe - Contenu'!P29:P31)&lt;AVERAGE('Annexe - Contenu'!R29:R31),"Effectifs suffisants pour les besoins en 2040","Effectifs insuffisants pour les besoins en 2040")</f>
        <v>Effectifs suffisants pour les besoins en 2040</v>
      </c>
      <c r="L14" s="62"/>
      <c r="O14" s="62"/>
      <c r="P14" s="62"/>
      <c r="Q14" s="62"/>
    </row>
    <row r="15" spans="1:17" ht="70.5" customHeight="1" x14ac:dyDescent="0.3">
      <c r="A15" s="136" t="s">
        <v>405</v>
      </c>
      <c r="B15" s="9">
        <f>'Annexe - Contenu'!D32</f>
        <v>164</v>
      </c>
      <c r="C15" s="32" t="s">
        <v>173</v>
      </c>
      <c r="D15" s="33">
        <f>'Annexe - Contenu'!I32</f>
        <v>23.464912280701757</v>
      </c>
      <c r="E15" s="28">
        <f t="shared" si="2"/>
        <v>0.14307873341891314</v>
      </c>
      <c r="F15" s="33">
        <f>'Annexe - Contenu'!L32</f>
        <v>23.464912280701757</v>
      </c>
      <c r="G15" s="28">
        <f t="shared" si="3"/>
        <v>0.14307873341891314</v>
      </c>
      <c r="H15" s="12" t="s">
        <v>327</v>
      </c>
      <c r="I15" s="12" t="s">
        <v>385</v>
      </c>
      <c r="J15" s="79" t="str">
        <f>IF('Annexe - Contenu'!O32&lt;'Annexe - Contenu'!Q32,"Effectifs suffisants pour les besoins en 2040","Effectifs insuffisants pour les besoins en 2040")</f>
        <v>Effectifs suffisants pour les besoins en 2040</v>
      </c>
      <c r="K15" s="79" t="str">
        <f>IF('Annexe - Contenu'!P32&lt;'Annexe - Contenu'!R32,"Effectifs suffisants pour les besoins en 2040","Effectifs insuffisants pour les besoins en 2040")</f>
        <v>Effectifs suffisants pour les besoins en 2040</v>
      </c>
      <c r="L15" s="62"/>
    </row>
    <row r="16" spans="1:17" ht="140" customHeight="1" x14ac:dyDescent="0.3">
      <c r="A16" s="32" t="s">
        <v>406</v>
      </c>
      <c r="B16" s="9">
        <f>SUM('Annexe - Contenu'!D33:D35)</f>
        <v>171</v>
      </c>
      <c r="C16" s="32" t="s">
        <v>217</v>
      </c>
      <c r="D16" s="33">
        <f>AVERAGE('Annexe - Contenu'!I33:I35)</f>
        <v>25.202596543454888</v>
      </c>
      <c r="E16" s="28">
        <f t="shared" si="2"/>
        <v>0.14738360551728005</v>
      </c>
      <c r="F16" s="33">
        <f>AVERAGE('Annexe - Contenu'!L33:L35)</f>
        <v>31.50324567931861</v>
      </c>
      <c r="G16" s="28">
        <f t="shared" si="3"/>
        <v>0.18422950689660006</v>
      </c>
      <c r="H16" s="12" t="s">
        <v>326</v>
      </c>
      <c r="I16" s="26"/>
      <c r="J16" s="79" t="str">
        <f>IF(AVERAGE('Annexe - Contenu'!O33:O35)&lt;AVERAGE('Annexe - Contenu'!Q33:Q35),"Effectifs suffisants pour les besoins en 2040","Effectifs insuffisants pour les besoins en 2040")</f>
        <v>Effectifs suffisants pour les besoins en 2040</v>
      </c>
      <c r="K16" s="79" t="str">
        <f>IF(AVERAGE('Annexe - Contenu'!P33:P35)&lt;AVERAGE('Annexe - Contenu'!R33:R35),"Effectifs suffisants pour les besoins en 2040","Effectifs insuffisants pour les besoins en 2040")</f>
        <v>Effectifs suffisants pour les besoins en 2040</v>
      </c>
      <c r="L16" s="62"/>
    </row>
    <row r="17" spans="1:13" ht="111.5" customHeight="1" x14ac:dyDescent="0.3">
      <c r="A17" s="12" t="s">
        <v>407</v>
      </c>
      <c r="B17" s="9">
        <f>SUM('Annexe - Contenu'!D36:D38)</f>
        <v>57</v>
      </c>
      <c r="C17" s="32" t="s">
        <v>218</v>
      </c>
      <c r="D17" s="33">
        <f>AVERAGE('Annexe - Contenu'!H36:H38)</f>
        <v>9.75</v>
      </c>
      <c r="E17" s="28">
        <f t="shared" si="2"/>
        <v>0.17105263157894737</v>
      </c>
      <c r="F17" s="33">
        <f>AVERAGE('Annexe - Contenu'!K36:K38)</f>
        <v>9.75</v>
      </c>
      <c r="G17" s="28">
        <f t="shared" si="3"/>
        <v>0.17105263157894737</v>
      </c>
      <c r="H17" s="12" t="s">
        <v>328</v>
      </c>
      <c r="I17" s="26"/>
      <c r="J17" s="79" t="str">
        <f>IF(AVERAGE('Annexe - Contenu'!O36:O38)&lt;AVERAGE('Annexe - Contenu'!Q36:Q38),"Effectifs suffisants pour les besoins en 2040","Effectifs insuffisants pour les besoins en 2040")</f>
        <v>Effectifs suffisants pour les besoins en 2040</v>
      </c>
      <c r="K17" s="79" t="str">
        <f>IF(AVERAGE('Annexe - Contenu'!P36:P38)&lt;AVERAGE('Annexe - Contenu'!R36:R38),"Effectifs suffisants pour les besoins en 2040","Effectifs insuffisants pour les besoins en 2040")</f>
        <v>Effectifs insuffisants pour les besoins en 2040</v>
      </c>
      <c r="L17" s="62"/>
    </row>
    <row r="18" spans="1:13" ht="77" customHeight="1" x14ac:dyDescent="0.3">
      <c r="A18" s="32" t="s">
        <v>408</v>
      </c>
      <c r="B18" s="9">
        <f>SUM('Annexe - Contenu'!D39:D40)</f>
        <v>40</v>
      </c>
      <c r="C18" s="32" t="s">
        <v>216</v>
      </c>
      <c r="D18" s="33">
        <f>AVERAGE('Annexe - Contenu'!I39:I40)</f>
        <v>4.9724220623501196</v>
      </c>
      <c r="E18" s="28">
        <f t="shared" si="2"/>
        <v>0.12431055155875299</v>
      </c>
      <c r="F18" s="33">
        <f>AVERAGE('Annexe - Contenu'!L39:L40)</f>
        <v>4.9724220623501196</v>
      </c>
      <c r="G18" s="28">
        <f t="shared" si="3"/>
        <v>0.12431055155875299</v>
      </c>
      <c r="H18" s="12" t="s">
        <v>328</v>
      </c>
      <c r="I18" s="26"/>
      <c r="J18" s="79" t="str">
        <f>IF(AVERAGE('Annexe - Contenu'!O39:O40)&lt;AVERAGE('Annexe - Contenu'!Q39:Q40),"Effectifs suffisants pour les besoins en 2040","Effectifs insuffisants pour les besoins en 2040")</f>
        <v>Effectifs suffisants pour les besoins en 2040</v>
      </c>
      <c r="K18" s="79" t="str">
        <f>IF(AVERAGE('Annexe - Contenu'!P39:P40)&lt;AVERAGE('Annexe - Contenu'!R39:R40),"Effectifs suffisants pour les besoins en 2040","Effectifs insuffisants pour les besoins en 2040")</f>
        <v>Effectifs suffisants pour les besoins en 2040</v>
      </c>
      <c r="L18" s="62"/>
    </row>
    <row r="19" spans="1:13" ht="82.5" customHeight="1" x14ac:dyDescent="0.3">
      <c r="A19" s="32" t="s">
        <v>409</v>
      </c>
      <c r="B19" s="9">
        <f>SUM('Annexe - Contenu'!D41:D42)</f>
        <v>385</v>
      </c>
      <c r="C19" s="32" t="s">
        <v>261</v>
      </c>
      <c r="D19" s="33">
        <f>AVERAGE('Annexe - Contenu'!I41)</f>
        <v>8.571428571428573</v>
      </c>
      <c r="E19" s="28">
        <f t="shared" si="2"/>
        <v>2.2263450834879409E-2</v>
      </c>
      <c r="F19" s="33">
        <f>AVERAGE('Annexe - Contenu'!L41:L42)</f>
        <v>8.7633262260127935</v>
      </c>
      <c r="G19" s="28">
        <f t="shared" si="3"/>
        <v>2.276188630133193E-2</v>
      </c>
      <c r="H19" s="12" t="s">
        <v>329</v>
      </c>
      <c r="I19" s="26"/>
      <c r="J19" s="79" t="str">
        <f>IF(AVERAGE('Annexe - Contenu'!O41:O42)&lt;AVERAGE('Annexe - Contenu'!Q41:Q42),"Effectifs suffisants pour les besoins en 2040","Effectifs insuffisants pour les besoins en 2040")</f>
        <v>Effectifs suffisants pour les besoins en 2040</v>
      </c>
      <c r="K19" s="79" t="str">
        <f>IF(AVERAGE('Annexe - Contenu'!P41:P42)&lt;AVERAGE('Annexe - Contenu'!R41:R42),"Effectifs suffisants pour les besoins en 2040","Effectifs insuffisants pour les besoins en 2040")</f>
        <v>Effectifs insuffisants pour les besoins en 2040</v>
      </c>
      <c r="L19" s="62"/>
    </row>
    <row r="20" spans="1:13" ht="85" customHeight="1" x14ac:dyDescent="0.3">
      <c r="A20" s="12" t="s">
        <v>111</v>
      </c>
      <c r="B20" s="9">
        <f>SUM('Annexe - Contenu'!D43:D44)</f>
        <v>48</v>
      </c>
      <c r="C20" s="32" t="s">
        <v>173</v>
      </c>
      <c r="D20" s="35">
        <f>AVERAGE('Annexe - Contenu'!J43:J44)</f>
        <v>0.16120117907148118</v>
      </c>
      <c r="E20" s="28">
        <f t="shared" si="2"/>
        <v>3.3583578973225246E-3</v>
      </c>
      <c r="F20" s="35">
        <f>AVERAGE('Annexe - Contenu'!L43:L44)</f>
        <v>7.7376565954310959</v>
      </c>
      <c r="G20" s="28">
        <f t="shared" si="3"/>
        <v>0.16120117907148115</v>
      </c>
      <c r="H20" s="12" t="s">
        <v>325</v>
      </c>
      <c r="I20" s="26"/>
      <c r="J20" s="79" t="str">
        <f>IF(AVERAGE('Annexe - Contenu'!O43:O44)&lt;AVERAGE('Annexe - Contenu'!Q43:Q44),"Effectifs suffisants pour les besoins en 2040","Effectifs insuffisants pour les besoins en 2040")</f>
        <v>Effectifs insuffisants pour les besoins en 2040</v>
      </c>
      <c r="K20" s="79" t="str">
        <f>IF(AVERAGE('Annexe - Contenu'!P43:P44)&lt;AVERAGE('Annexe - Contenu'!R43:R44),"Effectifs suffisants pour les besoins en 2040","Effectifs insuffisants pour les besoins en 2040")</f>
        <v>Effectifs suffisants pour les besoins en 2040</v>
      </c>
    </row>
    <row r="21" spans="1:13" ht="127.5" customHeight="1" x14ac:dyDescent="0.3">
      <c r="A21" s="32" t="s">
        <v>411</v>
      </c>
      <c r="B21" s="9">
        <f>SUM('Annexe - Contenu'!D45:D47)</f>
        <v>135</v>
      </c>
      <c r="C21" s="27" t="s">
        <v>219</v>
      </c>
      <c r="D21" s="33">
        <f>AVERAGE('Annexe - Contenu'!I45:I47)</f>
        <v>8.1472502455460845</v>
      </c>
      <c r="E21" s="28">
        <f t="shared" si="2"/>
        <v>6.0350001818859883E-2</v>
      </c>
      <c r="F21" s="33">
        <f>AVERAGE('Annexe - Contenu'!L45:L47)</f>
        <v>6.8421715691022884</v>
      </c>
      <c r="G21" s="28">
        <f t="shared" si="3"/>
        <v>5.0682752363720655E-2</v>
      </c>
      <c r="H21" s="12" t="s">
        <v>331</v>
      </c>
      <c r="I21" s="15"/>
      <c r="J21" s="79" t="str">
        <f>IF(AVERAGE('Annexe - Contenu'!O45:O47)&lt;AVERAGE('Annexe - Contenu'!Q45:Q47),"Effectifs suffisants pour les besoins en 2040","Effectifs insuffisants pour les besoins en 2040")</f>
        <v>Effectifs suffisants pour les besoins en 2040</v>
      </c>
      <c r="K21" s="79" t="str">
        <f>IF(AVERAGE('Annexe - Contenu'!P45:P47)&lt;AVERAGE('Annexe - Contenu'!R45:R47),"Effectifs suffisants pour les besoins en 2040","Effectifs insuffisants pour les besoins en 2040")</f>
        <v>Effectifs insuffisants pour les besoins en 2040</v>
      </c>
      <c r="M21" s="54"/>
    </row>
    <row r="22" spans="1:13" ht="86" customHeight="1" x14ac:dyDescent="0.3">
      <c r="A22" s="32" t="s">
        <v>412</v>
      </c>
      <c r="B22" s="23">
        <f>SUM('Annexe - Contenu'!F48)</f>
        <v>139</v>
      </c>
      <c r="C22" s="32" t="s">
        <v>216</v>
      </c>
      <c r="D22" s="33">
        <f>AVERAGE('Annexe - Contenu'!I48)</f>
        <v>4.5448085033299606</v>
      </c>
      <c r="E22" s="28">
        <f t="shared" si="2"/>
        <v>3.2696464052733527E-2</v>
      </c>
      <c r="F22" s="33">
        <f>AVERAGE('Annexe - Contenu'!L48)</f>
        <v>11.078874110260861</v>
      </c>
      <c r="G22" s="28">
        <f t="shared" si="3"/>
        <v>7.9704130289646485E-2</v>
      </c>
      <c r="H22" s="12" t="s">
        <v>331</v>
      </c>
      <c r="I22" s="9"/>
      <c r="J22" s="79" t="str">
        <f>IF('Annexe - Contenu'!O48&lt;'Annexe - Contenu'!Q48,"Effectifs suffisants pour les besoins en 2040","Effectifs insuffisants pour les besoins en 2040")</f>
        <v>Effectifs insuffisants pour les besoins en 2040</v>
      </c>
      <c r="K22" s="79" t="str">
        <f>IF('Annexe - Contenu'!P48&lt;'Annexe - Contenu'!R48,"Effectifs suffisants pour les besoins en 2040","Effectifs insuffisants pour les besoins en 2040")</f>
        <v>Effectifs insuffisants pour les besoins en 2040</v>
      </c>
    </row>
    <row r="23" spans="1:13" ht="88" customHeight="1" x14ac:dyDescent="0.3">
      <c r="A23" s="12" t="s">
        <v>112</v>
      </c>
      <c r="B23" s="9">
        <f>SUM('Annexe - Contenu'!D49:D53)</f>
        <v>336</v>
      </c>
      <c r="C23" s="32" t="s">
        <v>216</v>
      </c>
      <c r="D23" s="33">
        <f>AVERAGE('Annexe - Contenu'!I49:I53)</f>
        <v>18.294026974808183</v>
      </c>
      <c r="E23" s="28">
        <f t="shared" si="2"/>
        <v>5.4446508853595782E-2</v>
      </c>
      <c r="F23" s="33">
        <f>AVERAGE('Annexe - Contenu'!L49:L53)</f>
        <v>28.126548359374191</v>
      </c>
      <c r="G23" s="28">
        <f t="shared" si="3"/>
        <v>8.370996535528033E-2</v>
      </c>
      <c r="H23" s="12" t="s">
        <v>331</v>
      </c>
      <c r="I23" s="9"/>
      <c r="J23" s="79" t="str">
        <f>IF(AVERAGE('Annexe - Contenu'!O49:O53)&lt;AVERAGE('Annexe - Contenu'!Q49:Q53),"Effectifs suffisants pour les besoins en 2040","Effectifs insuffisants pour les besoins en 2040")</f>
        <v>Effectifs suffisants pour les besoins en 2040</v>
      </c>
      <c r="K23" s="79" t="str">
        <f>IF(AVERAGE('Annexe - Contenu'!P49:P53)&lt;AVERAGE('Annexe - Contenu'!R49:R53),"Effectifs suffisants pour les besoins en 2040","Effectifs insuffisants pour les besoins en 2040")</f>
        <v>Effectifs insuffisants pour les besoins en 2040</v>
      </c>
    </row>
    <row r="24" spans="1:13" ht="79.5" customHeight="1" x14ac:dyDescent="0.3">
      <c r="A24" s="12" t="s">
        <v>413</v>
      </c>
      <c r="B24" s="9">
        <f>SUM('Annexe - Contenu'!D54:D57)</f>
        <v>191</v>
      </c>
      <c r="C24" s="32" t="s">
        <v>216</v>
      </c>
      <c r="D24" s="33">
        <f>AVERAGE('Annexe - Contenu'!I54:I57)</f>
        <v>2.6700710294305883</v>
      </c>
      <c r="E24" s="28">
        <f t="shared" si="2"/>
        <v>1.3979429473458578E-2</v>
      </c>
      <c r="F24" s="33">
        <f>AVERAGE('Annexe - Contenu'!L54:L57)</f>
        <v>5.1176361397419621</v>
      </c>
      <c r="G24" s="28">
        <f t="shared" si="3"/>
        <v>2.6793906490795612E-2</v>
      </c>
      <c r="H24" s="12" t="s">
        <v>331</v>
      </c>
      <c r="I24" s="15"/>
      <c r="J24" s="79" t="str">
        <f>IF(AVERAGE('Annexe - Contenu'!O54:O57)&lt;AVERAGE('Annexe - Contenu'!Q54:Q57),"Effectifs suffisants pour les besoins en 2040","Effectifs insuffisants pour les besoins en 2040")</f>
        <v>Effectifs suffisants pour les besoins en 2040</v>
      </c>
      <c r="K24" s="79" t="str">
        <f>IF(AVERAGE('Annexe - Contenu'!P54:P57)&lt;AVERAGE('Annexe - Contenu'!R54:R57),"Effectifs suffisants pour les besoins en 2040","Effectifs insuffisants pour les besoins en 2040")</f>
        <v>Effectifs suffisants pour les besoins en 2040</v>
      </c>
      <c r="L24" s="62"/>
    </row>
    <row r="25" spans="1:13" ht="64.5" customHeight="1" x14ac:dyDescent="0.3">
      <c r="A25" s="133" t="s">
        <v>414</v>
      </c>
      <c r="B25" s="115">
        <f>SUM('Annexe - Contenu'!D58:D60)</f>
        <v>212</v>
      </c>
      <c r="C25" s="139" t="s">
        <v>262</v>
      </c>
      <c r="D25" s="141">
        <f>AVERAGE('Annexe - Contenu'!I58:I60)</f>
        <v>10.5</v>
      </c>
      <c r="E25" s="28">
        <f t="shared" si="2"/>
        <v>4.9528301886792456E-2</v>
      </c>
      <c r="F25" s="141">
        <f>AVERAGE('Annexe - Contenu'!L58:L60)</f>
        <v>10.5</v>
      </c>
      <c r="G25" s="28">
        <f t="shared" si="3"/>
        <v>4.9528301886792456E-2</v>
      </c>
      <c r="H25" s="12" t="s">
        <v>329</v>
      </c>
      <c r="I25" s="115"/>
      <c r="J25" s="79" t="str">
        <f>IF(AVERAGE('Annexe - Contenu'!O58:O60)&lt;AVERAGE('Annexe - Contenu'!Q58:Q60),"Effectifs suffisants pour les besoins en 2040","Effectifs insuffisants pour les besoins en 2040")</f>
        <v>Effectifs suffisants pour les besoins en 2040</v>
      </c>
      <c r="K25" s="79" t="str">
        <f>IF(AVERAGE('Annexe - Contenu'!P58:P60)&lt;AVERAGE('Annexe - Contenu'!R58:R60),"Effectifs suffisants pour les besoins en 2040","Effectifs insuffisants pour les besoins en 2040")</f>
        <v>Effectifs suffisants pour les besoins en 2040</v>
      </c>
      <c r="L25" s="62"/>
    </row>
    <row r="26" spans="1:13" ht="64.5" customHeight="1" x14ac:dyDescent="0.3">
      <c r="A26" s="32" t="s">
        <v>297</v>
      </c>
      <c r="B26" s="97" t="s">
        <v>365</v>
      </c>
      <c r="C26" s="180" t="s">
        <v>215</v>
      </c>
      <c r="D26" s="33">
        <f>AVERAGE('Annexe - Contenu'!I61:I63)</f>
        <v>7.5426817400622754</v>
      </c>
      <c r="E26" s="97" t="s">
        <v>365</v>
      </c>
      <c r="F26" s="33">
        <f>AVERAGE('Annexe - Contenu'!L61:L63)</f>
        <v>9.4065879588631613</v>
      </c>
      <c r="G26" s="97" t="s">
        <v>365</v>
      </c>
      <c r="H26" s="12" t="s">
        <v>331</v>
      </c>
      <c r="I26" s="9"/>
      <c r="J26" s="79" t="str">
        <f>IF(AVERAGE('Annexe - Contenu'!O61:O63)&lt;AVERAGE('Annexe - Contenu'!Q61:Q63),"Effectifs suffisants pour les besoins en 2040","Effectifs insuffisants pour les besoins en 2040")</f>
        <v>Effectifs suffisants pour les besoins en 2040</v>
      </c>
      <c r="K26" s="79" t="str">
        <f>IF(AVERAGE('Annexe - Contenu'!P61:P63)&lt;AVERAGE('Annexe - Contenu'!R61:R63),"Effectifs suffisants pour les besoins en 2040","Effectifs insuffisants pour les besoins en 2040")</f>
        <v>Effectifs suffisants pour les besoins en 2040</v>
      </c>
      <c r="L26" s="62"/>
    </row>
    <row r="27" spans="1:13" ht="34.5" customHeight="1" x14ac:dyDescent="0.3">
      <c r="A27" s="313" t="s">
        <v>114</v>
      </c>
      <c r="B27" s="314"/>
      <c r="C27" s="314"/>
      <c r="D27" s="314"/>
      <c r="E27" s="314"/>
      <c r="F27" s="314"/>
      <c r="G27" s="314"/>
      <c r="H27" s="314"/>
      <c r="I27" s="314"/>
      <c r="J27" s="314"/>
      <c r="K27" s="314"/>
      <c r="L27" s="261"/>
    </row>
    <row r="28" spans="1:13" ht="125" customHeight="1" x14ac:dyDescent="0.3">
      <c r="A28" s="12" t="s">
        <v>415</v>
      </c>
      <c r="B28" s="9">
        <f>SUM('Annexe - Contenu'!D67:D69)</f>
        <v>69</v>
      </c>
      <c r="C28" s="32" t="s">
        <v>333</v>
      </c>
      <c r="D28" s="35">
        <f>AVERAGE('Annexe - Contenu'!I67:I69)</f>
        <v>10.38764975445044</v>
      </c>
      <c r="E28" s="142">
        <f>D28/B28</f>
        <v>0.15054564861522376</v>
      </c>
      <c r="F28" s="35">
        <f>AVERAGE('Annexe - Contenu'!L67:L69)</f>
        <v>17.025313051896852</v>
      </c>
      <c r="G28" s="142">
        <f>F28/B28</f>
        <v>0.24674366741879494</v>
      </c>
      <c r="H28" s="12" t="s">
        <v>335</v>
      </c>
      <c r="I28" s="12" t="s">
        <v>306</v>
      </c>
      <c r="J28" s="79" t="str">
        <f>IF(AVERAGE('Annexe - Contenu'!O67:O69)&lt;AVERAGE('Annexe - Contenu'!Q67:Q69),"Effectifs suffisants pour les besoins en 2040","Effectifs insuffisants pour les besoins en 2040")</f>
        <v>Effectifs suffisants pour les besoins en 2040</v>
      </c>
      <c r="K28" s="79" t="str">
        <f>IF(AVERAGE('Annexe - Contenu'!P67:P69)&lt;AVERAGE('Annexe - Contenu'!R67:R69),"Effectifs suffisants pour les besoins en 2040","Effectifs insuffisants pour les besoins en 2040")</f>
        <v>Effectifs suffisants pour les besoins en 2040</v>
      </c>
    </row>
    <row r="29" spans="1:13" ht="130" customHeight="1" x14ac:dyDescent="0.3">
      <c r="A29" s="32" t="s">
        <v>387</v>
      </c>
      <c r="B29" s="9">
        <f>SUM('Annexe - Volume'!D79:D84)</f>
        <v>183</v>
      </c>
      <c r="C29" s="32" t="s">
        <v>211</v>
      </c>
      <c r="D29" s="35">
        <f>AVERAGE('Annexe - Contenu'!I70:I75)</f>
        <v>20.210526315789476</v>
      </c>
      <c r="E29" s="142">
        <f t="shared" ref="E29:E39" si="4">D29/B29</f>
        <v>0.1104400345125108</v>
      </c>
      <c r="F29" s="35">
        <f>AVERAGE('Annexe - Contenu'!L70:L75)</f>
        <v>20.210526315789476</v>
      </c>
      <c r="G29" s="142">
        <f t="shared" ref="G29:G39" si="5">F29/B29</f>
        <v>0.1104400345125108</v>
      </c>
      <c r="H29" s="12" t="s">
        <v>334</v>
      </c>
      <c r="I29" s="12" t="s">
        <v>306</v>
      </c>
      <c r="J29" s="79" t="str">
        <f>IF(AVERAGE('Annexe - Contenu'!O70:O75)&lt;AVERAGE('Annexe - Contenu'!Q70:Q75),"Effectifs suffisants pour les besoins en 2040","Effectifs insuffisants pour les besoins en 2040")</f>
        <v>Effectifs suffisants pour les besoins en 2040</v>
      </c>
      <c r="K29" s="79" t="str">
        <f>IF(AVERAGE('Annexe - Contenu'!P70:P75)&lt;AVERAGE('Annexe - Contenu'!R70:R75),"Effectifs suffisants pour les besoins en 2040","Effectifs insuffisants pour les besoins en 2040")</f>
        <v>Effectifs suffisants pour les besoins en 2040</v>
      </c>
    </row>
    <row r="30" spans="1:13" ht="130" customHeight="1" x14ac:dyDescent="0.3">
      <c r="A30" s="32" t="s">
        <v>416</v>
      </c>
      <c r="B30" s="9">
        <f>SUM('Annexe - Volume'!D85:D88)</f>
        <v>336</v>
      </c>
      <c r="C30" s="32" t="s">
        <v>212</v>
      </c>
      <c r="D30" s="35">
        <f>AVERAGE('Annexe - Contenu'!I76:I79)</f>
        <v>5.6842105263157894</v>
      </c>
      <c r="E30" s="142">
        <f t="shared" si="4"/>
        <v>1.6917293233082706E-2</v>
      </c>
      <c r="F30" s="35">
        <f>AVERAGE('Annexe - Contenu'!L76:L79)</f>
        <v>5.6842105263157894</v>
      </c>
      <c r="G30" s="142">
        <f t="shared" si="5"/>
        <v>1.6917293233082706E-2</v>
      </c>
      <c r="H30" s="12" t="s">
        <v>329</v>
      </c>
      <c r="I30" s="12" t="s">
        <v>306</v>
      </c>
      <c r="J30" s="79" t="str">
        <f>IF(AVERAGE('Annexe - Contenu'!O76:O79)&lt;AVERAGE('Annexe - Contenu'!Q76:Q79),"Effectifs suffisants pour les besoins en 2040","Effectifs insuffisants pour les besoins en 2040")</f>
        <v>Effectifs insuffisants pour les besoins en 2040</v>
      </c>
      <c r="K30" s="79" t="str">
        <f>IF(AVERAGE('Annexe - Contenu'!P76:P79)&lt;AVERAGE('Annexe - Contenu'!R76:R79),"Effectifs suffisants pour les besoins en 2040","Effectifs insuffisants pour les besoins en 2040")</f>
        <v>Effectifs insuffisants pour les besoins en 2040</v>
      </c>
    </row>
    <row r="31" spans="1:13" ht="130" customHeight="1" x14ac:dyDescent="0.3">
      <c r="A31" s="32" t="s">
        <v>388</v>
      </c>
      <c r="B31" s="9">
        <f>SUM('Annexe - Volume'!D89:D90)</f>
        <v>37</v>
      </c>
      <c r="C31" s="32" t="s">
        <v>212</v>
      </c>
      <c r="D31" s="35">
        <f>AVERAGE('Annexe - Contenu'!I80:I81)</f>
        <v>5.6842105263157894</v>
      </c>
      <c r="E31" s="142">
        <f t="shared" si="4"/>
        <v>0.15362731152204837</v>
      </c>
      <c r="F31" s="35">
        <f>AVERAGE('Annexe - Contenu'!L80:L81)</f>
        <v>5.6842105263157894</v>
      </c>
      <c r="G31" s="142">
        <f t="shared" si="5"/>
        <v>0.15362731152204837</v>
      </c>
      <c r="H31" s="12" t="s">
        <v>329</v>
      </c>
      <c r="I31" s="12" t="s">
        <v>306</v>
      </c>
      <c r="J31" s="79" t="str">
        <f>IF(AVERAGE('Annexe - Contenu'!O80:O81)&lt;AVERAGE('Annexe - Contenu'!Q80:Q81),"Effectifs suffisants pour les besoins en 2040","Effectifs insuffisants pour les besoins en 2040")</f>
        <v>Effectifs insuffisants pour les besoins en 2040</v>
      </c>
      <c r="K31" s="79" t="str">
        <f>IF(AVERAGE('Annexe - Contenu'!P80:P81)&lt;AVERAGE('Annexe - Contenu'!R80:R81),"Effectifs suffisants pour les besoins en 2040","Effectifs insuffisants pour les besoins en 2040")</f>
        <v>Effectifs insuffisants pour les besoins en 2040</v>
      </c>
    </row>
    <row r="32" spans="1:13" ht="130" customHeight="1" x14ac:dyDescent="0.3">
      <c r="A32" s="12" t="s">
        <v>389</v>
      </c>
      <c r="B32" s="9">
        <f>SUM('Annexe - Volume'!D91:D96)</f>
        <v>208</v>
      </c>
      <c r="C32" s="32" t="s">
        <v>213</v>
      </c>
      <c r="D32" s="35">
        <f>AVERAGE('Annexe - Contenu'!I82:I87)</f>
        <v>4.1052631578947372</v>
      </c>
      <c r="E32" s="142">
        <f t="shared" si="4"/>
        <v>1.973684210526316E-2</v>
      </c>
      <c r="F32" s="35">
        <f>AVERAGE('Annexe - Contenu'!L82:L87)</f>
        <v>4.1052631578947372</v>
      </c>
      <c r="G32" s="142">
        <f t="shared" si="5"/>
        <v>1.973684210526316E-2</v>
      </c>
      <c r="H32" s="12" t="s">
        <v>336</v>
      </c>
      <c r="I32" s="12" t="s">
        <v>306</v>
      </c>
      <c r="J32" s="79" t="str">
        <f>IF(AVERAGE('Annexe - Contenu'!O82:O87)&lt;AVERAGE('Annexe - Contenu'!Q82:Q87),"Effectifs suffisants pour les besoins en 2040","Effectifs insuffisants pour les besoins en 2040")</f>
        <v>Effectifs suffisants pour les besoins en 2040</v>
      </c>
      <c r="K32" s="79" t="str">
        <f>IF(AVERAGE('Annexe - Contenu'!P82:P87)&lt;AVERAGE('Annexe - Contenu'!R82:R87),"Effectifs suffisants pour les besoins en 2040","Effectifs insuffisants pour les besoins en 2040")</f>
        <v>Effectifs suffisants pour les besoins en 2040</v>
      </c>
    </row>
    <row r="33" spans="1:13" ht="130" customHeight="1" x14ac:dyDescent="0.3">
      <c r="A33" s="12" t="s">
        <v>417</v>
      </c>
      <c r="B33" s="9">
        <f>SUM('Annexe - Volume'!D97:D103)</f>
        <v>223</v>
      </c>
      <c r="C33" s="32" t="s">
        <v>214</v>
      </c>
      <c r="D33" s="35">
        <f>AVERAGE('Annexe - Contenu'!I88:I94)</f>
        <v>11.929824561403507</v>
      </c>
      <c r="E33" s="142">
        <f t="shared" si="4"/>
        <v>5.3496971127369987E-2</v>
      </c>
      <c r="F33" s="35">
        <f>AVERAGE('Annexe - Contenu'!L88:L94)</f>
        <v>23.859649122807014</v>
      </c>
      <c r="G33" s="142">
        <f t="shared" si="5"/>
        <v>0.10699394225473997</v>
      </c>
      <c r="H33" s="12" t="s">
        <v>337</v>
      </c>
      <c r="I33" s="12" t="s">
        <v>306</v>
      </c>
      <c r="J33" s="79" t="str">
        <f>IF(AVERAGE('Annexe - Contenu'!O88:O94)&lt;AVERAGE('Annexe - Contenu'!Q88:Q94),"Effectifs suffisants pour les besoins en 2040","Effectifs insuffisants pour les besoins en 2040")</f>
        <v>Effectifs suffisants pour les besoins en 2040</v>
      </c>
      <c r="K33" s="79" t="str">
        <f>IF(AVERAGE('Annexe - Contenu'!P88:P94)&lt;AVERAGE('Annexe - Contenu'!R88:R94),"Effectifs suffisants pour les besoins en 2040","Effectifs insuffisants pour les besoins en 2040")</f>
        <v>Effectifs suffisants pour les besoins en 2040</v>
      </c>
    </row>
    <row r="34" spans="1:13" ht="130" customHeight="1" x14ac:dyDescent="0.3">
      <c r="A34" s="32" t="s">
        <v>190</v>
      </c>
      <c r="B34" s="9">
        <f>SUM('Annexe - Volume'!D104:D108)</f>
        <v>93</v>
      </c>
      <c r="C34" s="32" t="s">
        <v>215</v>
      </c>
      <c r="D34" s="35">
        <f>AVERAGE('Annexe - Contenu'!I95:I99)</f>
        <v>2.9112028866370352</v>
      </c>
      <c r="E34" s="142">
        <f t="shared" si="4"/>
        <v>3.130325684555952E-2</v>
      </c>
      <c r="F34" s="35">
        <f>AVERAGE('Annexe - Contenu'!L95:L99)</f>
        <v>4.4112083497989563</v>
      </c>
      <c r="G34" s="142">
        <f t="shared" si="5"/>
        <v>4.7432347847300604E-2</v>
      </c>
      <c r="H34" s="12" t="s">
        <v>331</v>
      </c>
      <c r="I34" s="12" t="s">
        <v>306</v>
      </c>
      <c r="J34" s="79" t="str">
        <f>IF(AVERAGE('Annexe - Contenu'!O95:O99)&lt;AVERAGE('Annexe - Contenu'!Q95:Q99),"Effectifs suffisants pour les besoins en 2040","Effectifs insuffisants pour les besoins en 2040")</f>
        <v>Effectifs suffisants pour les besoins en 2040</v>
      </c>
      <c r="K34" s="79" t="str">
        <f>IF(AVERAGE('Annexe - Contenu'!P95:P99)&lt;AVERAGE('Annexe - Contenu'!R95:R99),"Effectifs suffisants pour les besoins en 2040","Effectifs insuffisants pour les besoins en 2040")</f>
        <v>Effectifs suffisants pour les besoins en 2040</v>
      </c>
    </row>
    <row r="35" spans="1:13" ht="130" customHeight="1" x14ac:dyDescent="0.3">
      <c r="A35" s="12" t="s">
        <v>418</v>
      </c>
      <c r="B35" s="9">
        <f>SUM('Annexe - Volume'!D109:D113)</f>
        <v>202</v>
      </c>
      <c r="C35" s="32" t="s">
        <v>216</v>
      </c>
      <c r="D35" s="35">
        <f>AVERAGE('Annexe - Contenu'!I100:I103)</f>
        <v>1.3006450805987388</v>
      </c>
      <c r="E35" s="142">
        <f t="shared" si="4"/>
        <v>6.4388370326670238E-3</v>
      </c>
      <c r="F35" s="35">
        <f>AVERAGE('Annexe - Contenu'!L100:L103)</f>
        <v>4.0737087391637772</v>
      </c>
      <c r="G35" s="142">
        <f t="shared" si="5"/>
        <v>2.0166874946355332E-2</v>
      </c>
      <c r="H35" s="12" t="s">
        <v>331</v>
      </c>
      <c r="I35" s="12" t="s">
        <v>306</v>
      </c>
      <c r="J35" s="79" t="str">
        <f>IF(AVERAGE('Annexe - Contenu'!O100:O103)&lt;AVERAGE('Annexe - Contenu'!Q100:Q104),"Effectifs suffisants pour les besoins en 2040","Effectifs insuffisants pour les besoins en 2040")</f>
        <v>Effectifs insuffisants pour les besoins en 2040</v>
      </c>
      <c r="K35" s="79" t="str">
        <f>IF(AVERAGE('Annexe - Contenu'!P100:P103)&lt;AVERAGE('Annexe - Contenu'!R100:R104),"Effectifs suffisants pour les besoins en 2040","Effectifs insuffisants pour les besoins en 2040")</f>
        <v>Effectifs suffisants pour les besoins en 2040</v>
      </c>
    </row>
    <row r="36" spans="1:13" ht="77.5" customHeight="1" x14ac:dyDescent="0.3">
      <c r="A36" s="12" t="s">
        <v>343</v>
      </c>
      <c r="B36" s="9">
        <f>'Annexe - Contenu'!D104</f>
        <v>54</v>
      </c>
      <c r="C36" s="32" t="s">
        <v>216</v>
      </c>
      <c r="D36" s="35">
        <f>'Annexe - Contenu'!I104</f>
        <v>1.3006450805987388</v>
      </c>
      <c r="E36" s="142">
        <f t="shared" si="4"/>
        <v>2.4086020011087755E-2</v>
      </c>
      <c r="F36" s="35">
        <f>'Annexe - Contenu'!L104</f>
        <v>5.8282157448415566</v>
      </c>
      <c r="G36" s="142">
        <f t="shared" si="5"/>
        <v>0.10792992120076957</v>
      </c>
      <c r="H36" s="12" t="s">
        <v>331</v>
      </c>
      <c r="I36" s="12" t="s">
        <v>306</v>
      </c>
      <c r="J36" s="79" t="str">
        <f>IF('Annexe - Contenu'!O104&lt;'Annexe - Contenu'!Q104,"Effectifs suffisants pour les besoins en 2040","Effectifs insuffisants pour les besoins en 2040")</f>
        <v>Effectifs insuffisants pour les besoins en 2040</v>
      </c>
      <c r="K36" s="79" t="str">
        <f>IF('Annexe - Contenu'!P104&lt;'Annexe - Contenu'!R104,"Effectifs suffisants pour les besoins en 2040","Effectifs insuffisants pour les besoins en 2040")</f>
        <v>Effectifs suffisants pour les besoins en 2040</v>
      </c>
    </row>
    <row r="37" spans="1:13" ht="130" customHeight="1" x14ac:dyDescent="0.3">
      <c r="A37" s="12" t="s">
        <v>393</v>
      </c>
      <c r="B37" s="9">
        <f>SUM('Annexe - Volume'!D114:D115)</f>
        <v>29</v>
      </c>
      <c r="C37" s="32" t="s">
        <v>171</v>
      </c>
      <c r="D37" s="35">
        <f>AVERAGE('Annexe - Contenu'!I105:I107)</f>
        <v>3.7594050880626226</v>
      </c>
      <c r="E37" s="142">
        <f t="shared" si="4"/>
        <v>0.12963465820905595</v>
      </c>
      <c r="F37" s="35">
        <f>AVERAGE('Annexe - Contenu'!L105:L107)</f>
        <v>5.5440052185257658</v>
      </c>
      <c r="G37" s="142">
        <f t="shared" si="5"/>
        <v>0.19117259374226778</v>
      </c>
      <c r="H37" s="12" t="s">
        <v>331</v>
      </c>
      <c r="I37" s="12" t="s">
        <v>306</v>
      </c>
      <c r="J37" s="79" t="str">
        <f>IF(AVERAGE('Annexe - Contenu'!O105:O107)&lt;AVERAGE('Annexe - Contenu'!Q105:Q107),"Effectifs suffisants pour les besoins en 2040","Effectifs insuffisants pour les besoins en 2040")</f>
        <v>Effectifs insuffisants pour les besoins en 2040</v>
      </c>
      <c r="K37" s="79" t="str">
        <f>IF(AVERAGE('Annexe - Contenu'!P105:P107)&lt;AVERAGE('Annexe - Contenu'!R105:R107),"Effectifs suffisants pour les besoins en 2040","Effectifs insuffisants pour les besoins en 2040")</f>
        <v>Effectifs insuffisants pour les besoins en 2040</v>
      </c>
      <c r="M37" s="54"/>
    </row>
    <row r="38" spans="1:13" ht="130" customHeight="1" x14ac:dyDescent="0.3">
      <c r="A38" s="12" t="s">
        <v>419</v>
      </c>
      <c r="B38" s="9">
        <f>SUM('Annexe - Volume'!D117:D121)</f>
        <v>365</v>
      </c>
      <c r="C38" s="32" t="s">
        <v>219</v>
      </c>
      <c r="D38" s="35">
        <f>AVERAGE('Annexe - Contenu'!I108:I112)</f>
        <v>2.6108186555775732</v>
      </c>
      <c r="E38" s="142">
        <f t="shared" si="4"/>
        <v>7.1529278235002002E-3</v>
      </c>
      <c r="F38" s="35">
        <f>AVERAGE('Annexe - Contenu'!L108:L112)</f>
        <v>2.7875136456088812</v>
      </c>
      <c r="G38" s="142">
        <f t="shared" si="5"/>
        <v>7.6370236865996744E-3</v>
      </c>
      <c r="H38" s="12" t="s">
        <v>334</v>
      </c>
      <c r="I38" s="12" t="s">
        <v>306</v>
      </c>
      <c r="J38" s="79" t="str">
        <f>IF(AVERAGE('Annexe - Contenu'!O108:O112)&lt;AVERAGE('Annexe - Contenu'!Q108:Q112),"Effectifs suffisants pour les besoins en 2040","Effectifs insuffisants pour les besoins en 2040")</f>
        <v>Effectifs suffisants pour les besoins en 2040</v>
      </c>
      <c r="K38" s="79" t="str">
        <f>IF(AVERAGE('Annexe - Contenu'!P108:P112)&lt;AVERAGE('Annexe - Contenu'!R108:R112),"Effectifs suffisants pour les besoins en 2040","Effectifs insuffisants pour les besoins en 2040")</f>
        <v>Effectifs suffisants pour les besoins en 2040</v>
      </c>
      <c r="M38" s="54"/>
    </row>
    <row r="39" spans="1:13" ht="130" customHeight="1" x14ac:dyDescent="0.3">
      <c r="A39" s="12" t="s">
        <v>420</v>
      </c>
      <c r="B39" s="9">
        <f>SUM('Annexe - Volume'!D122:D125)</f>
        <v>68</v>
      </c>
      <c r="C39" s="32" t="s">
        <v>173</v>
      </c>
      <c r="D39" s="35">
        <f>AVERAGE('Annexe - Contenu'!I113:I116)</f>
        <v>10.105263157894736</v>
      </c>
      <c r="E39" s="142">
        <f t="shared" si="4"/>
        <v>0.14860681114551083</v>
      </c>
      <c r="F39" s="35">
        <f>AVERAGE('Annexe - Contenu'!L113:L116)</f>
        <v>10.105263157894736</v>
      </c>
      <c r="G39" s="142">
        <f t="shared" si="5"/>
        <v>0.14860681114551083</v>
      </c>
      <c r="H39" s="12" t="s">
        <v>329</v>
      </c>
      <c r="I39" s="12" t="s">
        <v>306</v>
      </c>
      <c r="J39" s="79" t="str">
        <f>IF(AVERAGE('Annexe - Contenu'!O113:O116)&lt;AVERAGE('Annexe - Contenu'!Q113:Q116),"Effectifs suffisants pour les besoins en 2040","Effectifs insuffisants pour les besoins en 2040")</f>
        <v>Effectifs suffisants pour les besoins en 2040</v>
      </c>
      <c r="K39" s="79" t="str">
        <f>IF(AVERAGE('Annexe - Contenu'!P113:P116)&lt;AVERAGE('Annexe - Contenu'!R113:R116),"Effectifs suffisants pour les besoins en 2040","Effectifs insuffisants pour les besoins en 2040")</f>
        <v>Effectifs suffisants pour les besoins en 2040</v>
      </c>
    </row>
    <row r="40" spans="1:13" x14ac:dyDescent="0.3">
      <c r="D40" s="140"/>
      <c r="E40" s="140"/>
      <c r="F40" s="140"/>
      <c r="G40" s="140"/>
    </row>
    <row r="41" spans="1:13" x14ac:dyDescent="0.3">
      <c r="D41" s="140"/>
      <c r="E41" s="140"/>
      <c r="F41" s="140"/>
      <c r="G41" s="140"/>
    </row>
    <row r="44" spans="1:13" x14ac:dyDescent="0.3">
      <c r="D44" s="54"/>
    </row>
    <row r="45" spans="1:13" x14ac:dyDescent="0.3">
      <c r="D45" s="54"/>
    </row>
  </sheetData>
  <mergeCells count="12">
    <mergeCell ref="L1:M1"/>
    <mergeCell ref="J1:K1"/>
    <mergeCell ref="I1:I2"/>
    <mergeCell ref="H1:H2"/>
    <mergeCell ref="F1:G1"/>
    <mergeCell ref="A27:K27"/>
    <mergeCell ref="D1:E1"/>
    <mergeCell ref="C1:C2"/>
    <mergeCell ref="B1:B2"/>
    <mergeCell ref="A1:A2"/>
    <mergeCell ref="A3:K3"/>
    <mergeCell ref="A9:K9"/>
  </mergeCells>
  <phoneticPr fontId="3" type="noConversion"/>
  <conditionalFormatting sqref="J4:K8">
    <cfRule type="cellIs" dxfId="7" priority="5" operator="equal">
      <formula>"Effectifs insuffisants pour les besoins en 2040"</formula>
    </cfRule>
    <cfRule type="cellIs" dxfId="6" priority="6" operator="equal">
      <formula>"Effectifs suffisants pour les besoins en 2040"</formula>
    </cfRule>
  </conditionalFormatting>
  <conditionalFormatting sqref="J10:K26">
    <cfRule type="cellIs" dxfId="5" priority="3" operator="equal">
      <formula>"Effectifs insuffisants pour les besoins en 2040"</formula>
    </cfRule>
    <cfRule type="cellIs" dxfId="4" priority="4" operator="equal">
      <formula>"Effectifs suffisants pour les besoins en 2040"</formula>
    </cfRule>
  </conditionalFormatting>
  <conditionalFormatting sqref="J28:K39">
    <cfRule type="cellIs" dxfId="3" priority="1" operator="equal">
      <formula>"Effectifs insuffisants pour les besoins en 2040"</formula>
    </cfRule>
    <cfRule type="cellIs" dxfId="2" priority="2" operator="equal">
      <formula>"Effectifs suffisants pour les besoins en 2040"</formula>
    </cfRule>
  </conditionalFormatting>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5462-C3A0-484B-9922-BE37C92253E4}">
  <dimension ref="A1:G16"/>
  <sheetViews>
    <sheetView topLeftCell="A11" zoomScale="80" zoomScaleNormal="80" workbookViewId="0">
      <selection activeCell="D10" sqref="D10"/>
    </sheetView>
  </sheetViews>
  <sheetFormatPr baseColWidth="10" defaultRowHeight="14" x14ac:dyDescent="0.3"/>
  <cols>
    <col min="1" max="1" width="76" customWidth="1"/>
    <col min="2" max="2" width="22.25" customWidth="1"/>
    <col min="3" max="6" width="20.4140625" customWidth="1"/>
    <col min="7" max="7" width="31.25" customWidth="1"/>
  </cols>
  <sheetData>
    <row r="1" spans="1:7" ht="28" x14ac:dyDescent="0.3">
      <c r="A1" s="319" t="s">
        <v>362</v>
      </c>
      <c r="B1" s="320"/>
      <c r="C1" s="320"/>
      <c r="D1" s="320"/>
      <c r="E1" s="320"/>
      <c r="F1" s="320"/>
      <c r="G1" s="2" t="s">
        <v>364</v>
      </c>
    </row>
    <row r="2" spans="1:7" ht="25.5" customHeight="1" x14ac:dyDescent="0.3">
      <c r="A2" s="321"/>
      <c r="B2" s="321"/>
      <c r="C2" s="321"/>
      <c r="D2" s="321"/>
      <c r="E2" s="321"/>
      <c r="F2" s="321"/>
      <c r="G2" s="167">
        <v>0.15</v>
      </c>
    </row>
    <row r="3" spans="1:7" x14ac:dyDescent="0.3">
      <c r="A3" s="301" t="s">
        <v>25</v>
      </c>
      <c r="B3" s="301" t="s">
        <v>27</v>
      </c>
      <c r="C3" s="303" t="s">
        <v>21</v>
      </c>
      <c r="D3" s="303"/>
      <c r="E3" s="304" t="s">
        <v>22</v>
      </c>
      <c r="F3" s="304"/>
      <c r="G3" s="322" t="s">
        <v>347</v>
      </c>
    </row>
    <row r="4" spans="1:7" ht="44" customHeight="1" x14ac:dyDescent="0.3">
      <c r="A4" s="301"/>
      <c r="B4" s="301"/>
      <c r="C4" s="10" t="s">
        <v>23</v>
      </c>
      <c r="D4" s="7" t="s">
        <v>24</v>
      </c>
      <c r="E4" s="11" t="s">
        <v>23</v>
      </c>
      <c r="F4" s="8" t="s">
        <v>24</v>
      </c>
      <c r="G4" s="322"/>
    </row>
    <row r="5" spans="1:7" x14ac:dyDescent="0.3">
      <c r="A5" s="308" t="s">
        <v>360</v>
      </c>
      <c r="B5" s="309"/>
      <c r="C5" s="309"/>
      <c r="D5" s="309"/>
      <c r="E5" s="309"/>
      <c r="F5" s="309"/>
      <c r="G5" s="310"/>
    </row>
    <row r="6" spans="1:7" ht="144" customHeight="1" x14ac:dyDescent="0.3">
      <c r="A6" s="12" t="s">
        <v>103</v>
      </c>
      <c r="B6" s="9">
        <f>'3-Catalogue - Volume'!B13</f>
        <v>175</v>
      </c>
      <c r="C6" s="35" cm="1">
        <f t="array" ref="C6">'3-Catalogue - Volume'!C13+G2*(AVERAGE('Annexe - Volume'!G24:G27/AVERAGE('Annexe - Volume'!E24:E27)/'1-Hypothèses'!B5))</f>
        <v>20.942379016527092</v>
      </c>
      <c r="D6" s="28">
        <f>C6/B6</f>
        <v>0.11967073723729767</v>
      </c>
      <c r="E6" s="58" cm="1">
        <f t="array" ref="E6">'3-Catalogue - Volume'!E13+G2*(AVERAGE('Annexe - Volume'!J24:J27/AVERAGE('Annexe - Volume'!E24:E27)/'1-Hypothèses'!B5))</f>
        <v>20.942379016527092</v>
      </c>
      <c r="F6" s="28">
        <f t="shared" ref="F6:F7" si="0">E6/B6</f>
        <v>0.11967073723729767</v>
      </c>
      <c r="G6" s="49" t="s">
        <v>217</v>
      </c>
    </row>
    <row r="7" spans="1:7" ht="70.5" customHeight="1" x14ac:dyDescent="0.3">
      <c r="A7" s="12" t="s">
        <v>422</v>
      </c>
      <c r="B7" s="9">
        <f>'3-Catalogue - Volume'!B14</f>
        <v>319</v>
      </c>
      <c r="C7" s="35" cm="1">
        <f t="array" ref="C7">'3-Catalogue - Volume'!C14+G2*(AVERAGE('Annexe - Volume'!G30:G36/'Annexe - Volume'!E30:E36/'1-Hypothèses'!B5))</f>
        <v>6.0561683165782645</v>
      </c>
      <c r="D7" s="28">
        <f t="shared" ref="D7" si="1">C7/B7</f>
        <v>1.8984853656985157E-2</v>
      </c>
      <c r="E7" s="58" cm="1">
        <f t="array" ref="E7">'3-Catalogue - Volume'!E14+G2*(AVERAGE('Annexe - Volume'!J30:J36/'Annexe - Volume'!E30:E36/'1-Hypothèses'!B5))</f>
        <v>6.0561683165782645</v>
      </c>
      <c r="F7" s="28">
        <f t="shared" si="0"/>
        <v>1.8984853656985157E-2</v>
      </c>
      <c r="G7" s="49" t="s">
        <v>217</v>
      </c>
    </row>
    <row r="8" spans="1:7" ht="98.5" customHeight="1" x14ac:dyDescent="0.3">
      <c r="A8" s="12" t="s">
        <v>421</v>
      </c>
      <c r="B8" s="9">
        <f>'3-Catalogue - Volume'!B15</f>
        <v>57</v>
      </c>
      <c r="C8" s="35">
        <f>'3-Catalogue - Volume'!C15+G2*(AVERAGE('Annexe - Volume'!G37:G39)/AVERAGE('Annexe - Volume'!E37:E39)/'1-Hypothèses'!B5)</f>
        <v>4.3511513157894735</v>
      </c>
      <c r="D8" s="28">
        <f>C8/B8</f>
        <v>7.6335987996306545E-2</v>
      </c>
      <c r="E8" s="35">
        <f>'3-Catalogue - Volume'!E15+G2*(AVERAGE('Annexe - Volume'!J37:J39)/AVERAGE('Annexe - Volume'!E37:E39)/'1-Hypothèses'!B5)</f>
        <v>4.3511513157894735</v>
      </c>
      <c r="F8" s="28">
        <f t="shared" ref="F8:F11" si="2">E8/B8</f>
        <v>7.6335987996306545E-2</v>
      </c>
      <c r="G8" s="49" t="s">
        <v>218</v>
      </c>
    </row>
    <row r="9" spans="1:7" ht="62.5" customHeight="1" x14ac:dyDescent="0.3">
      <c r="A9" s="56" t="s">
        <v>187</v>
      </c>
      <c r="B9" s="56">
        <f>'3-Catalogue - Volume'!B16</f>
        <v>40</v>
      </c>
      <c r="C9" s="57" cm="1">
        <f t="array" ref="C9">'3-Catalogue - Volume'!C16+G2*(AVERAGE('Annexe - Volume'!G40:G41/AVERAGE('Annexe - Volume'!E40:E41/'1-Hypothèses'!B5)))</f>
        <v>23.310980056080528</v>
      </c>
      <c r="D9" s="28">
        <f t="shared" ref="D9:D11" si="3">C9/B9</f>
        <v>0.58277450140201315</v>
      </c>
      <c r="E9" s="58" cm="1">
        <f t="array" ref="E9">'3-Catalogue - Volume'!E16+G2*(AVERAGE('Annexe - Volume'!J40:J41/AVERAGE('Annexe - Volume'!E40:E41/'1-Hypothèses'!B5)))</f>
        <v>23.310980056080528</v>
      </c>
      <c r="F9" s="28">
        <f t="shared" si="2"/>
        <v>0.58277450140201315</v>
      </c>
      <c r="G9" s="26" t="s">
        <v>216</v>
      </c>
    </row>
    <row r="10" spans="1:7" ht="57" x14ac:dyDescent="0.3">
      <c r="A10" s="56" t="s">
        <v>293</v>
      </c>
      <c r="B10" s="56">
        <f>'3-Catalogue - Volume'!B18</f>
        <v>24</v>
      </c>
      <c r="C10" s="57" cm="1">
        <f t="array" ref="C10">'3-Catalogue - Volume'!C18+G2*(AVERAGE('Annexe - Volume'!G44:G45/AVERAGE('Annexe - Volume'!E44:E45/'1-Hypothèses'!B5)))</f>
        <v>16.666666666666664</v>
      </c>
      <c r="D10" s="28">
        <f t="shared" si="3"/>
        <v>0.69444444444444431</v>
      </c>
      <c r="E10" s="58" cm="1">
        <f t="array" ref="E10">'3-Catalogue - Volume'!E18+G2*(AVERAGE('Annexe - Volume'!J44:J45/AVERAGE('Annexe - Volume'!E44:E45/'1-Hypothèses'!B5)))</f>
        <v>33.333333333333329</v>
      </c>
      <c r="F10" s="28">
        <f t="shared" si="2"/>
        <v>1.3888888888888886</v>
      </c>
      <c r="G10" s="26" t="s">
        <v>173</v>
      </c>
    </row>
    <row r="11" spans="1:7" ht="72" customHeight="1" x14ac:dyDescent="0.3">
      <c r="A11" s="12" t="s">
        <v>292</v>
      </c>
      <c r="B11" s="9">
        <f>'3-Catalogue - Volume'!B22</f>
        <v>336</v>
      </c>
      <c r="C11" s="35">
        <f>'3-Catalogue - Volume'!C22+G2*(AVERAGE('Annexe - Volume'!G51:G55)/AVERAGE('Annexe - Volume'!E51:E55)/'1-Hypothèses'!B5)</f>
        <v>22.236189132268976</v>
      </c>
      <c r="D11" s="28">
        <f t="shared" si="3"/>
        <v>6.6179134322229091E-2</v>
      </c>
      <c r="E11" s="58">
        <f>'3-Catalogue - Volume'!E22+G2*(AVERAGE('Annexe - Volume'!J51:J55)/AVERAGE('Annexe - Volume'!E51:E55)/'1-Hypothèses'!B5)</f>
        <v>34.187511028501241</v>
      </c>
      <c r="F11" s="28">
        <f t="shared" si="2"/>
        <v>0.10174854472768227</v>
      </c>
      <c r="G11" s="26" t="s">
        <v>216</v>
      </c>
    </row>
    <row r="12" spans="1:7" ht="18" customHeight="1" x14ac:dyDescent="0.3">
      <c r="A12" s="316" t="s">
        <v>114</v>
      </c>
      <c r="B12" s="316"/>
      <c r="C12" s="316"/>
      <c r="D12" s="316"/>
      <c r="E12" s="316"/>
      <c r="F12" s="316"/>
      <c r="G12" s="316"/>
    </row>
    <row r="13" spans="1:7" ht="101" x14ac:dyDescent="0.3">
      <c r="A13" s="32" t="s">
        <v>425</v>
      </c>
      <c r="B13" s="9">
        <f>'3-Catalogue - Volume'!B29</f>
        <v>198</v>
      </c>
      <c r="C13" s="35" cm="1">
        <f t="array" ref="C13">'3-Catalogue - Volume'!C29+G2*(AVERAGE('Annexe - Volume'!G78:G83/AVERAGE('Annexe - Volume'!E78:E83)/'1-Hypothèses'!B5))</f>
        <v>23.242105263157896</v>
      </c>
      <c r="D13" s="131">
        <f t="shared" ref="D13:D16" si="4">C13/B13</f>
        <v>0.11738437001594897</v>
      </c>
      <c r="E13" s="35" cm="1">
        <f t="array" ref="E13">'3-Catalogue - Volume'!E29+G2*(AVERAGE('Annexe - Volume'!J78:J83/AVERAGE('Annexe - Volume'!E78:E83)/'1-Hypothèses'!B5))</f>
        <v>23.242105263157896</v>
      </c>
      <c r="F13" s="28">
        <f>E13/B13</f>
        <v>0.11738437001594897</v>
      </c>
      <c r="G13" s="12" t="s">
        <v>211</v>
      </c>
    </row>
    <row r="14" spans="1:7" ht="100.5" customHeight="1" x14ac:dyDescent="0.3">
      <c r="A14" s="12" t="s">
        <v>424</v>
      </c>
      <c r="B14" s="9">
        <f>'3-Catalogue - Volume'!B32</f>
        <v>195</v>
      </c>
      <c r="C14" s="35">
        <f>'3-Catalogue - Volume'!C32+G2*(AVERAGE('Annexe - Volume'!G90:G95)/AVERAGE('Annexe - Volume'!E90:E95)/'1-Hypothèses'!B5)</f>
        <v>4.7210526315789476</v>
      </c>
      <c r="D14" s="131">
        <f t="shared" si="4"/>
        <v>2.4210526315789474E-2</v>
      </c>
      <c r="E14" s="35">
        <f>'3-Catalogue - Volume'!E32+G2*(AVERAGE('Annexe - Volume'!J90:J95)/AVERAGE('Annexe - Volume'!E90:E95)/'1-Hypothèses'!B5)</f>
        <v>4.7210526315789476</v>
      </c>
      <c r="F14" s="28">
        <f t="shared" ref="F14:F16" si="5">E14/B14</f>
        <v>2.4210526315789474E-2</v>
      </c>
      <c r="G14" s="12" t="s">
        <v>213</v>
      </c>
    </row>
    <row r="15" spans="1:7" ht="111" customHeight="1" x14ac:dyDescent="0.3">
      <c r="A15" s="12" t="s">
        <v>423</v>
      </c>
      <c r="B15" s="9">
        <f>'3-Catalogue - Volume'!B33</f>
        <v>223</v>
      </c>
      <c r="C15" s="35" cm="1">
        <f t="array" ref="C15">'3-Catalogue - Volume'!C33+G2*(AVERAGE('Annexe - Volume'!G96:G102/AVERAGE('Annexe - Volume'!E96:E102)/'1-Hypothèses'!B5))</f>
        <v>13.719298245614032</v>
      </c>
      <c r="D15" s="131">
        <f t="shared" si="4"/>
        <v>6.1521516796475481E-2</v>
      </c>
      <c r="E15" s="35" cm="1">
        <f t="array" ref="E15">'3-Catalogue - Volume'!E33+G2*(AVERAGE('Annexe - Volume'!J96:J102/AVERAGE('Annexe - Volume'!E96:E102)/'1-Hypothèses'!B5))</f>
        <v>27.438596491228065</v>
      </c>
      <c r="F15" s="28">
        <f t="shared" si="5"/>
        <v>0.12304303359295096</v>
      </c>
      <c r="G15" s="12" t="s">
        <v>214</v>
      </c>
    </row>
    <row r="16" spans="1:7" ht="57.5" x14ac:dyDescent="0.3">
      <c r="A16" s="12" t="s">
        <v>393</v>
      </c>
      <c r="B16" s="9">
        <f>'3-Catalogue - Volume'!B37</f>
        <v>54</v>
      </c>
      <c r="C16" s="35" cm="1">
        <f t="array" ref="C16">'3-Catalogue - Volume'!C37+G2*(AVERAGE('Annexe - Volume'!G113:G115)/AVERAGE('Annexe - Volume'!E113:E115/'1-Hypothèses'!B5))</f>
        <v>17.857174168297451</v>
      </c>
      <c r="D16" s="131">
        <f t="shared" si="4"/>
        <v>0.33068841052402687</v>
      </c>
      <c r="E16" s="35" cm="1">
        <f t="array" ref="E16">'3-Catalogue - Volume'!E37+G2*(AVERAGE('Annexe - Volume'!J113:J115)/AVERAGE('Annexe - Volume'!E113:E115/'1-Hypothèses'!B5))</f>
        <v>26.334024787997386</v>
      </c>
      <c r="F16" s="28">
        <f t="shared" si="5"/>
        <v>0.48766712570365528</v>
      </c>
      <c r="G16" s="12" t="s">
        <v>171</v>
      </c>
    </row>
  </sheetData>
  <mergeCells count="8">
    <mergeCell ref="A1:F2"/>
    <mergeCell ref="G3:G4"/>
    <mergeCell ref="A5:G5"/>
    <mergeCell ref="A12:G12"/>
    <mergeCell ref="A3:A4"/>
    <mergeCell ref="B3:B4"/>
    <mergeCell ref="C3:D3"/>
    <mergeCell ref="E3:F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6C1F-C76D-404A-98DB-D56158643283}">
  <dimension ref="A1:S143"/>
  <sheetViews>
    <sheetView showGridLines="0" tabSelected="1" zoomScale="80" zoomScaleNormal="80" workbookViewId="0">
      <pane xSplit="2" ySplit="1" topLeftCell="E2" activePane="bottomRight" state="frozen"/>
      <selection pane="topRight" activeCell="C1" sqref="C1"/>
      <selection pane="bottomLeft" activeCell="A2" sqref="A2"/>
      <selection pane="bottomRight" activeCell="G2" sqref="G2"/>
    </sheetView>
  </sheetViews>
  <sheetFormatPr baseColWidth="10" defaultRowHeight="14" x14ac:dyDescent="0.3"/>
  <cols>
    <col min="1" max="1" width="41" customWidth="1"/>
    <col min="2" max="2" width="32.83203125" customWidth="1"/>
    <col min="3" max="3" width="41.5" customWidth="1"/>
    <col min="4" max="4" width="13.4140625" customWidth="1"/>
    <col min="5" max="5" width="15.1640625" customWidth="1"/>
    <col min="6" max="6" width="18.9140625" customWidth="1"/>
    <col min="7" max="7" width="16.25" customWidth="1"/>
    <col min="8" max="9" width="14.25" customWidth="1"/>
    <col min="10" max="12" width="16.5" customWidth="1"/>
    <col min="13" max="13" width="38.75" customWidth="1"/>
    <col min="14" max="14" width="26.58203125" customWidth="1"/>
    <col min="15" max="15" width="25" customWidth="1"/>
    <col min="16" max="16" width="28.33203125" customWidth="1"/>
    <col min="17" max="17" width="30.6640625" customWidth="1"/>
    <col min="18" max="18" width="34.9140625" customWidth="1"/>
    <col min="19" max="19" width="33.5" customWidth="1"/>
  </cols>
  <sheetData>
    <row r="1" spans="1:19" ht="14" customHeight="1" x14ac:dyDescent="0.3">
      <c r="A1" s="330" t="s">
        <v>427</v>
      </c>
      <c r="B1" s="335" t="s">
        <v>428</v>
      </c>
      <c r="C1" s="6"/>
      <c r="D1" s="6"/>
      <c r="E1" s="6"/>
      <c r="F1" s="6"/>
      <c r="G1" s="325" t="s">
        <v>4</v>
      </c>
      <c r="H1" s="325"/>
      <c r="I1" s="325"/>
      <c r="J1" s="328" t="s">
        <v>6</v>
      </c>
      <c r="K1" s="328"/>
      <c r="L1" s="329"/>
      <c r="M1" s="326" t="s">
        <v>26</v>
      </c>
      <c r="N1" s="16" t="s">
        <v>4</v>
      </c>
      <c r="O1" s="18" t="s">
        <v>6</v>
      </c>
      <c r="P1" s="16" t="s">
        <v>4</v>
      </c>
      <c r="Q1" s="18" t="s">
        <v>6</v>
      </c>
    </row>
    <row r="2" spans="1:19" ht="63.5" customHeight="1" x14ac:dyDescent="0.3">
      <c r="A2" s="331"/>
      <c r="B2" s="336"/>
      <c r="C2" s="5" t="s">
        <v>157</v>
      </c>
      <c r="D2" s="5" t="s">
        <v>10</v>
      </c>
      <c r="E2" s="5" t="s">
        <v>436</v>
      </c>
      <c r="F2" s="5" t="s">
        <v>1</v>
      </c>
      <c r="G2" s="16" t="s">
        <v>11</v>
      </c>
      <c r="H2" s="17" t="s">
        <v>12</v>
      </c>
      <c r="I2" s="16" t="s">
        <v>5</v>
      </c>
      <c r="J2" s="18" t="s">
        <v>13</v>
      </c>
      <c r="K2" s="19" t="s">
        <v>12</v>
      </c>
      <c r="L2" s="24" t="s">
        <v>5</v>
      </c>
      <c r="M2" s="327"/>
      <c r="N2" s="7" t="s">
        <v>338</v>
      </c>
      <c r="O2" s="7" t="s">
        <v>338</v>
      </c>
      <c r="P2" s="204" t="s">
        <v>430</v>
      </c>
      <c r="Q2" s="12" t="s">
        <v>429</v>
      </c>
      <c r="R2" s="2"/>
      <c r="S2" s="2"/>
    </row>
    <row r="3" spans="1:19" x14ac:dyDescent="0.3">
      <c r="A3" s="226" t="s">
        <v>356</v>
      </c>
      <c r="B3" s="227"/>
      <c r="C3" s="227"/>
      <c r="D3" s="227"/>
      <c r="E3" s="227"/>
      <c r="F3" s="227"/>
      <c r="G3" s="227"/>
      <c r="H3" s="227"/>
      <c r="I3" s="227"/>
      <c r="J3" s="227"/>
      <c r="K3" s="227"/>
      <c r="L3" s="227"/>
      <c r="M3" s="227"/>
      <c r="N3" s="227"/>
      <c r="O3" s="227"/>
      <c r="P3" s="227"/>
      <c r="Q3" s="230"/>
      <c r="R3" s="231"/>
    </row>
    <row r="4" spans="1:19" ht="34" customHeight="1" x14ac:dyDescent="0.3">
      <c r="A4" s="332" t="s">
        <v>34</v>
      </c>
      <c r="B4" s="332" t="s">
        <v>272</v>
      </c>
      <c r="C4" s="75" t="s">
        <v>268</v>
      </c>
      <c r="D4" s="75">
        <v>53</v>
      </c>
      <c r="E4" s="191">
        <f>AVERAGE(0.67,0.52)</f>
        <v>0.59499999999999997</v>
      </c>
      <c r="F4" s="79">
        <f>D4*E4*'1-Hypothèses'!B$5</f>
        <v>157.67500000000001</v>
      </c>
      <c r="G4" s="79">
        <v>60</v>
      </c>
      <c r="H4" s="190">
        <f>G4/E4/'1-Hypothèses'!B$5</f>
        <v>20.168067226890759</v>
      </c>
      <c r="I4" s="191">
        <f t="shared" ref="I4:I22" si="0">H4/D4</f>
        <v>0.38052957031869356</v>
      </c>
      <c r="J4" s="79">
        <v>60</v>
      </c>
      <c r="K4" s="190">
        <f>J4/E4/'1-Hypothèses'!B$5</f>
        <v>20.168067226890759</v>
      </c>
      <c r="L4" s="192">
        <f t="shared" ref="L4:L22" si="1">K4/D4</f>
        <v>0.38052957031869356</v>
      </c>
      <c r="M4" s="76"/>
      <c r="N4" s="203">
        <v>0</v>
      </c>
      <c r="O4" s="203">
        <v>0</v>
      </c>
      <c r="P4" s="232">
        <f>H4*10*E4</f>
        <v>120.00000000000001</v>
      </c>
      <c r="Q4" s="9">
        <f t="shared" ref="Q4:Q22" si="2">K4*10*E4</f>
        <v>120.00000000000001</v>
      </c>
      <c r="R4" s="228"/>
      <c r="S4" s="229"/>
    </row>
    <row r="5" spans="1:19" ht="34" customHeight="1" x14ac:dyDescent="0.3">
      <c r="A5" s="333"/>
      <c r="B5" s="333"/>
      <c r="C5" s="75" t="s">
        <v>269</v>
      </c>
      <c r="D5" s="75">
        <v>65</v>
      </c>
      <c r="E5" s="191">
        <f>AVERAGE(0.42,0.55)</f>
        <v>0.48499999999999999</v>
      </c>
      <c r="F5" s="79">
        <f>D5*E5*'1-Hypothèses'!B$5</f>
        <v>157.625</v>
      </c>
      <c r="G5" s="79">
        <v>60</v>
      </c>
      <c r="H5" s="190">
        <f>G5/E5/'1-Hypothèses'!B$5</f>
        <v>24.742268041237114</v>
      </c>
      <c r="I5" s="191">
        <f t="shared" si="0"/>
        <v>0.38065027755749409</v>
      </c>
      <c r="J5" s="79">
        <v>60</v>
      </c>
      <c r="K5" s="190">
        <f>J5/E5/'1-Hypothèses'!B$5</f>
        <v>24.742268041237114</v>
      </c>
      <c r="L5" s="192">
        <f t="shared" si="1"/>
        <v>0.38065027755749409</v>
      </c>
      <c r="M5" s="76"/>
      <c r="N5" s="203">
        <v>0</v>
      </c>
      <c r="O5" s="203">
        <v>0</v>
      </c>
      <c r="P5" s="232">
        <f>H5*10*E5</f>
        <v>120</v>
      </c>
      <c r="Q5" s="9">
        <f t="shared" si="2"/>
        <v>120</v>
      </c>
      <c r="R5" s="229"/>
      <c r="S5" s="229"/>
    </row>
    <row r="6" spans="1:19" ht="34" customHeight="1" x14ac:dyDescent="0.3">
      <c r="A6" s="333"/>
      <c r="B6" s="333"/>
      <c r="C6" s="75" t="s">
        <v>270</v>
      </c>
      <c r="D6" s="75">
        <v>32</v>
      </c>
      <c r="E6" s="191">
        <f>'1-Hypothèses'!C11</f>
        <v>0.54</v>
      </c>
      <c r="F6" s="79">
        <f>D6*E6*'1-Hypothèses'!B$5</f>
        <v>86.4</v>
      </c>
      <c r="G6" s="79">
        <v>60</v>
      </c>
      <c r="H6" s="190">
        <f>G6/E6/'1-Hypothèses'!B$5</f>
        <v>22.222222222222221</v>
      </c>
      <c r="I6" s="191">
        <f t="shared" si="0"/>
        <v>0.69444444444444442</v>
      </c>
      <c r="J6" s="79">
        <v>60</v>
      </c>
      <c r="K6" s="190">
        <f>J6/E6/'1-Hypothèses'!B$5</f>
        <v>22.222222222222221</v>
      </c>
      <c r="L6" s="192">
        <f t="shared" si="1"/>
        <v>0.69444444444444442</v>
      </c>
      <c r="M6" s="76"/>
      <c r="N6" s="203">
        <v>0</v>
      </c>
      <c r="O6" s="203">
        <v>0</v>
      </c>
      <c r="P6" s="232">
        <f>H6*10*E6</f>
        <v>120.00000000000001</v>
      </c>
      <c r="Q6" s="9">
        <f t="shared" si="2"/>
        <v>120.00000000000001</v>
      </c>
      <c r="R6" s="229"/>
      <c r="S6" s="229"/>
    </row>
    <row r="7" spans="1:19" ht="34" customHeight="1" x14ac:dyDescent="0.3">
      <c r="A7" s="334"/>
      <c r="B7" s="334"/>
      <c r="C7" s="75" t="s">
        <v>271</v>
      </c>
      <c r="D7" s="75">
        <v>25</v>
      </c>
      <c r="E7" s="191">
        <f>'1-Hypothèses'!C11</f>
        <v>0.54</v>
      </c>
      <c r="F7" s="79">
        <f>D7*E7*'1-Hypothèses'!B$5</f>
        <v>67.5</v>
      </c>
      <c r="G7" s="79">
        <v>60</v>
      </c>
      <c r="H7" s="190">
        <f>G7/E7/'1-Hypothèses'!B$5</f>
        <v>22.222222222222221</v>
      </c>
      <c r="I7" s="191">
        <f t="shared" si="0"/>
        <v>0.88888888888888884</v>
      </c>
      <c r="J7" s="79">
        <v>60</v>
      </c>
      <c r="K7" s="190">
        <f>J7/E7/'1-Hypothèses'!B$5</f>
        <v>22.222222222222221</v>
      </c>
      <c r="L7" s="192">
        <f t="shared" si="1"/>
        <v>0.88888888888888884</v>
      </c>
      <c r="M7" s="76"/>
      <c r="N7" s="203">
        <v>0</v>
      </c>
      <c r="O7" s="203">
        <v>0</v>
      </c>
      <c r="P7" s="232">
        <f>H7*10*E7</f>
        <v>120.00000000000001</v>
      </c>
      <c r="Q7" s="9">
        <f t="shared" si="2"/>
        <v>120.00000000000001</v>
      </c>
      <c r="R7" s="229"/>
      <c r="S7" s="229"/>
    </row>
    <row r="8" spans="1:19" ht="44" customHeight="1" x14ac:dyDescent="0.3">
      <c r="A8" s="337" t="s">
        <v>33</v>
      </c>
      <c r="B8" s="337" t="s">
        <v>275</v>
      </c>
      <c r="C8" s="7" t="s">
        <v>277</v>
      </c>
      <c r="D8" s="30">
        <v>519</v>
      </c>
      <c r="E8" s="44">
        <f>AVERAGE(0.47,0.5)</f>
        <v>0.48499999999999999</v>
      </c>
      <c r="F8" s="30">
        <f>D8*E8*'1-Hypothèses'!B$5</f>
        <v>1258.575</v>
      </c>
      <c r="G8" s="30">
        <v>20</v>
      </c>
      <c r="H8" s="46">
        <f>G8/E4/'1-Hypothèses'!B$5</f>
        <v>6.7226890756302522</v>
      </c>
      <c r="I8" s="44">
        <f>H8/D8</f>
        <v>1.2953158141869465E-2</v>
      </c>
      <c r="J8" s="30">
        <v>20</v>
      </c>
      <c r="K8" s="46">
        <f>J8/E8/'1-Hypothèses'!B$5</f>
        <v>8.247422680412372</v>
      </c>
      <c r="L8" s="47">
        <f>K8/D8</f>
        <v>1.5890987823530583E-2</v>
      </c>
      <c r="M8" s="7"/>
      <c r="N8" s="212">
        <v>0</v>
      </c>
      <c r="O8" s="212">
        <v>0</v>
      </c>
      <c r="P8" s="233">
        <f t="shared" ref="P8:P21" si="3">H8*10*E8</f>
        <v>32.605042016806721</v>
      </c>
      <c r="Q8" s="41">
        <f t="shared" si="2"/>
        <v>40</v>
      </c>
      <c r="R8" s="229"/>
      <c r="S8" s="229"/>
    </row>
    <row r="9" spans="1:19" ht="44" customHeight="1" x14ac:dyDescent="0.3">
      <c r="A9" s="338"/>
      <c r="B9" s="338"/>
      <c r="C9" s="7" t="s">
        <v>279</v>
      </c>
      <c r="D9" s="30">
        <v>666</v>
      </c>
      <c r="E9" s="44">
        <f>AVERAGE(0.47,0.5)</f>
        <v>0.48499999999999999</v>
      </c>
      <c r="F9" s="30">
        <f>D9*E9*'1-Hypothèses'!B$5</f>
        <v>1615.05</v>
      </c>
      <c r="G9" s="30">
        <v>20</v>
      </c>
      <c r="H9" s="46">
        <f>G9/E5/'1-Hypothèses'!B$5</f>
        <v>8.247422680412372</v>
      </c>
      <c r="I9" s="44">
        <f t="shared" ref="I9:I11" si="4">H9/D9</f>
        <v>1.2383517538156716E-2</v>
      </c>
      <c r="J9" s="30">
        <v>20</v>
      </c>
      <c r="K9" s="46">
        <f>J9/E9/'1-Hypothèses'!B$5</f>
        <v>8.247422680412372</v>
      </c>
      <c r="L9" s="47">
        <f t="shared" ref="L9:L11" si="5">K9/D9</f>
        <v>1.2383517538156716E-2</v>
      </c>
      <c r="M9" s="7"/>
      <c r="N9" s="212">
        <v>0</v>
      </c>
      <c r="O9" s="212">
        <v>0</v>
      </c>
      <c r="P9" s="233">
        <f t="shared" si="3"/>
        <v>40</v>
      </c>
      <c r="Q9" s="41">
        <f t="shared" si="2"/>
        <v>40</v>
      </c>
      <c r="R9" s="229"/>
      <c r="S9" s="229"/>
    </row>
    <row r="10" spans="1:19" ht="44" customHeight="1" x14ac:dyDescent="0.3">
      <c r="A10" s="338"/>
      <c r="B10" s="338"/>
      <c r="C10" s="7" t="s">
        <v>278</v>
      </c>
      <c r="D10" s="7">
        <v>32</v>
      </c>
      <c r="E10" s="44">
        <f>'1-Hypothèses'!C11</f>
        <v>0.54</v>
      </c>
      <c r="F10" s="30">
        <f>D10*E10*'1-Hypothèses'!B$5</f>
        <v>86.4</v>
      </c>
      <c r="G10" s="30">
        <v>20</v>
      </c>
      <c r="H10" s="46">
        <f>G10/E6/'1-Hypothèses'!B$5</f>
        <v>7.4074074074074074</v>
      </c>
      <c r="I10" s="44">
        <f t="shared" si="4"/>
        <v>0.23148148148148148</v>
      </c>
      <c r="J10" s="30">
        <v>20</v>
      </c>
      <c r="K10" s="46">
        <f>J10/E10/'1-Hypothèses'!B$5</f>
        <v>7.4074074074074074</v>
      </c>
      <c r="L10" s="47">
        <f t="shared" si="5"/>
        <v>0.23148148148148148</v>
      </c>
      <c r="M10" s="7"/>
      <c r="N10" s="212">
        <v>0</v>
      </c>
      <c r="O10" s="212">
        <v>0</v>
      </c>
      <c r="P10" s="233">
        <f t="shared" si="3"/>
        <v>40.000000000000007</v>
      </c>
      <c r="Q10" s="41">
        <f t="shared" si="2"/>
        <v>40.000000000000007</v>
      </c>
      <c r="R10" s="229"/>
      <c r="S10" s="229"/>
    </row>
    <row r="11" spans="1:19" ht="44" customHeight="1" x14ac:dyDescent="0.3">
      <c r="A11" s="339"/>
      <c r="B11" s="339"/>
      <c r="C11" s="7" t="s">
        <v>271</v>
      </c>
      <c r="D11" s="7">
        <v>25</v>
      </c>
      <c r="E11" s="44">
        <f>'1-Hypothèses'!C11</f>
        <v>0.54</v>
      </c>
      <c r="F11" s="30">
        <f>D11*E11*'1-Hypothèses'!B$5</f>
        <v>67.5</v>
      </c>
      <c r="G11" s="30">
        <v>20</v>
      </c>
      <c r="H11" s="46">
        <f>G11/E7/'1-Hypothèses'!B$5</f>
        <v>7.4074074074074074</v>
      </c>
      <c r="I11" s="44">
        <f t="shared" si="4"/>
        <v>0.29629629629629628</v>
      </c>
      <c r="J11" s="30">
        <v>20</v>
      </c>
      <c r="K11" s="46">
        <f>J11/E11/'1-Hypothèses'!B$5</f>
        <v>7.4074074074074074</v>
      </c>
      <c r="L11" s="47">
        <f t="shared" si="5"/>
        <v>0.29629629629629628</v>
      </c>
      <c r="M11" s="7"/>
      <c r="N11" s="212">
        <v>0</v>
      </c>
      <c r="O11" s="212">
        <v>0</v>
      </c>
      <c r="P11" s="233">
        <f t="shared" si="3"/>
        <v>40.000000000000007</v>
      </c>
      <c r="Q11" s="41">
        <f t="shared" si="2"/>
        <v>40.000000000000007</v>
      </c>
      <c r="R11" s="229"/>
      <c r="S11" s="229"/>
    </row>
    <row r="12" spans="1:19" ht="44" customHeight="1" x14ac:dyDescent="0.3">
      <c r="A12" s="332" t="s">
        <v>8</v>
      </c>
      <c r="B12" s="340" t="s">
        <v>276</v>
      </c>
      <c r="C12" s="75" t="s">
        <v>7</v>
      </c>
      <c r="D12" s="75">
        <v>48</v>
      </c>
      <c r="E12" s="189">
        <f>'1-Hypothèses'!C11</f>
        <v>0.54</v>
      </c>
      <c r="F12" s="79">
        <f>D12*E12*'1-Hypothèses'!B$5</f>
        <v>129.60000000000002</v>
      </c>
      <c r="G12" s="79">
        <v>6.5</v>
      </c>
      <c r="H12" s="190">
        <f>G12/E12/'1-Hypothèses'!B$5</f>
        <v>2.4074074074074074</v>
      </c>
      <c r="I12" s="191">
        <f t="shared" si="0"/>
        <v>5.0154320987654322E-2</v>
      </c>
      <c r="J12" s="78">
        <v>6.5</v>
      </c>
      <c r="K12" s="190">
        <f>J12/E12/'1-Hypothèses'!B$5</f>
        <v>2.4074074074074074</v>
      </c>
      <c r="L12" s="192">
        <f t="shared" si="1"/>
        <v>5.0154320987654322E-2</v>
      </c>
      <c r="M12" s="75"/>
      <c r="N12" s="203">
        <v>6.5</v>
      </c>
      <c r="O12" s="203">
        <v>19.5</v>
      </c>
      <c r="P12" s="232">
        <f t="shared" si="3"/>
        <v>13.000000000000002</v>
      </c>
      <c r="Q12" s="9">
        <f t="shared" si="2"/>
        <v>13.000000000000002</v>
      </c>
      <c r="R12" s="229"/>
      <c r="S12" s="229"/>
    </row>
    <row r="13" spans="1:19" ht="44" customHeight="1" x14ac:dyDescent="0.3">
      <c r="A13" s="333"/>
      <c r="B13" s="341"/>
      <c r="C13" s="75" t="s">
        <v>9</v>
      </c>
      <c r="D13" s="75">
        <v>611</v>
      </c>
      <c r="E13" s="189">
        <v>0.48</v>
      </c>
      <c r="F13" s="79">
        <f>D13*E13*'1-Hypothèses'!B$5</f>
        <v>1466.3999999999999</v>
      </c>
      <c r="G13" s="79">
        <v>6.5</v>
      </c>
      <c r="H13" s="190">
        <f>G13/E13/'1-Hypothèses'!B$5</f>
        <v>2.7083333333333335</v>
      </c>
      <c r="I13" s="191">
        <f t="shared" si="0"/>
        <v>4.4326241134751776E-3</v>
      </c>
      <c r="J13" s="78">
        <v>6.5</v>
      </c>
      <c r="K13" s="190">
        <f>J13/E13/'1-Hypothèses'!B$5</f>
        <v>2.7083333333333335</v>
      </c>
      <c r="L13" s="192">
        <f t="shared" si="1"/>
        <v>4.4326241134751776E-3</v>
      </c>
      <c r="M13" s="75"/>
      <c r="N13" s="203">
        <v>6.5</v>
      </c>
      <c r="O13" s="203">
        <v>19.5</v>
      </c>
      <c r="P13" s="232">
        <f t="shared" si="3"/>
        <v>13</v>
      </c>
      <c r="Q13" s="9">
        <f t="shared" si="2"/>
        <v>13</v>
      </c>
      <c r="R13" s="229"/>
      <c r="S13" s="229"/>
    </row>
    <row r="14" spans="1:19" ht="44" customHeight="1" x14ac:dyDescent="0.3">
      <c r="A14" s="333"/>
      <c r="B14" s="341"/>
      <c r="C14" s="75" t="s">
        <v>278</v>
      </c>
      <c r="D14" s="75">
        <v>32</v>
      </c>
      <c r="E14" s="189">
        <f>'1-Hypothèses'!C11</f>
        <v>0.54</v>
      </c>
      <c r="F14" s="79">
        <f>D14*E14*'1-Hypothèses'!B$5</f>
        <v>86.4</v>
      </c>
      <c r="G14" s="79">
        <v>6.5</v>
      </c>
      <c r="H14" s="190">
        <f>G14/E14/'1-Hypothèses'!B$5</f>
        <v>2.4074074074074074</v>
      </c>
      <c r="I14" s="191">
        <f t="shared" si="0"/>
        <v>7.5231481481481483E-2</v>
      </c>
      <c r="J14" s="78">
        <v>6.5</v>
      </c>
      <c r="K14" s="190">
        <f>J14/E14/'1-Hypothèses'!B$5</f>
        <v>2.4074074074074074</v>
      </c>
      <c r="L14" s="192">
        <f t="shared" si="1"/>
        <v>7.5231481481481483E-2</v>
      </c>
      <c r="M14" s="75"/>
      <c r="N14" s="203">
        <v>6.5</v>
      </c>
      <c r="O14" s="203">
        <v>19.5</v>
      </c>
      <c r="P14" s="232">
        <f t="shared" si="3"/>
        <v>13.000000000000002</v>
      </c>
      <c r="Q14" s="9">
        <f t="shared" si="2"/>
        <v>13.000000000000002</v>
      </c>
      <c r="R14" s="229"/>
      <c r="S14" s="229"/>
    </row>
    <row r="15" spans="1:19" ht="44" customHeight="1" x14ac:dyDescent="0.3">
      <c r="A15" s="333"/>
      <c r="B15" s="341"/>
      <c r="C15" s="75" t="s">
        <v>271</v>
      </c>
      <c r="D15" s="75">
        <v>25</v>
      </c>
      <c r="E15" s="189">
        <f>'1-Hypothèses'!C11</f>
        <v>0.54</v>
      </c>
      <c r="F15" s="79">
        <f>D15*E15*'1-Hypothèses'!B$5</f>
        <v>67.5</v>
      </c>
      <c r="G15" s="79">
        <v>6.5</v>
      </c>
      <c r="H15" s="190">
        <f>G15/E15/'1-Hypothèses'!B$5</f>
        <v>2.4074074074074074</v>
      </c>
      <c r="I15" s="191">
        <f t="shared" si="0"/>
        <v>9.6296296296296297E-2</v>
      </c>
      <c r="J15" s="78">
        <v>6.5</v>
      </c>
      <c r="K15" s="190">
        <f>J15/E15/'1-Hypothèses'!B$5</f>
        <v>2.4074074074074074</v>
      </c>
      <c r="L15" s="192">
        <f t="shared" si="1"/>
        <v>9.6296296296296297E-2</v>
      </c>
      <c r="M15" s="75"/>
      <c r="N15" s="203">
        <v>6.5</v>
      </c>
      <c r="O15" s="203">
        <v>19.5</v>
      </c>
      <c r="P15" s="232">
        <f t="shared" si="3"/>
        <v>13.000000000000002</v>
      </c>
      <c r="Q15" s="23">
        <f t="shared" si="2"/>
        <v>13.000000000000002</v>
      </c>
      <c r="R15" s="229"/>
      <c r="S15" s="229"/>
    </row>
    <row r="16" spans="1:19" ht="43.5" customHeight="1" x14ac:dyDescent="0.3">
      <c r="A16" s="7" t="s">
        <v>14</v>
      </c>
      <c r="B16" s="337" t="s">
        <v>276</v>
      </c>
      <c r="C16" s="7" t="s">
        <v>9</v>
      </c>
      <c r="D16" s="7">
        <v>611</v>
      </c>
      <c r="E16" s="43">
        <f>AVERAGE(0.56,0.4)</f>
        <v>0.48000000000000004</v>
      </c>
      <c r="F16" s="30">
        <f>D16*E16*'1-Hypothèses'!B$5</f>
        <v>1466.4</v>
      </c>
      <c r="G16" s="30">
        <v>13</v>
      </c>
      <c r="H16" s="46">
        <f>G16/E16/'1-Hypothèses'!B$5</f>
        <v>5.4166666666666661</v>
      </c>
      <c r="I16" s="44">
        <f t="shared" si="0"/>
        <v>8.8652482269503535E-3</v>
      </c>
      <c r="J16" s="45">
        <v>13</v>
      </c>
      <c r="K16" s="46">
        <f>J16/E16/'1-Hypothèses'!B$5</f>
        <v>5.4166666666666661</v>
      </c>
      <c r="L16" s="47">
        <f t="shared" si="1"/>
        <v>8.8652482269503535E-3</v>
      </c>
      <c r="M16" s="7" t="s">
        <v>274</v>
      </c>
      <c r="N16" s="213">
        <v>13</v>
      </c>
      <c r="O16" s="213">
        <v>20.583333333333336</v>
      </c>
      <c r="P16" s="233">
        <f t="shared" si="3"/>
        <v>25.999999999999996</v>
      </c>
      <c r="Q16" s="45">
        <f t="shared" si="2"/>
        <v>25.999999999999996</v>
      </c>
      <c r="R16" s="229"/>
      <c r="S16" s="229"/>
    </row>
    <row r="17" spans="1:19" ht="47" customHeight="1" x14ac:dyDescent="0.3">
      <c r="A17" s="12" t="s">
        <v>15</v>
      </c>
      <c r="B17" s="339"/>
      <c r="C17" s="12" t="s">
        <v>9</v>
      </c>
      <c r="D17" s="12">
        <v>611</v>
      </c>
      <c r="E17" s="20">
        <f>AVERAGE(0.56,0.4)</f>
        <v>0.48000000000000004</v>
      </c>
      <c r="F17" s="21">
        <f>D17*E17*'1-Hypothèses'!B$5</f>
        <v>1466.4</v>
      </c>
      <c r="G17" s="21">
        <v>30</v>
      </c>
      <c r="H17" s="13">
        <f>G17/E17/'1-Hypothèses'!B$5</f>
        <v>12.499999999999998</v>
      </c>
      <c r="I17" s="14">
        <f t="shared" si="0"/>
        <v>2.0458265139116201E-2</v>
      </c>
      <c r="J17" s="23">
        <v>30</v>
      </c>
      <c r="K17" s="13">
        <f>J17/E17/'1-Hypothèses'!B$5</f>
        <v>12.499999999999998</v>
      </c>
      <c r="L17" s="25">
        <f t="shared" si="1"/>
        <v>2.0458265139116201E-2</v>
      </c>
      <c r="M17" s="9"/>
      <c r="N17" s="203">
        <v>30</v>
      </c>
      <c r="O17" s="203">
        <v>90</v>
      </c>
      <c r="P17" s="232">
        <f t="shared" si="3"/>
        <v>60</v>
      </c>
      <c r="Q17" s="23">
        <f t="shared" si="2"/>
        <v>60</v>
      </c>
      <c r="R17" s="229"/>
      <c r="S17" s="229"/>
    </row>
    <row r="18" spans="1:19" ht="57.5" customHeight="1" x14ac:dyDescent="0.3">
      <c r="A18" s="37" t="s">
        <v>35</v>
      </c>
      <c r="B18" s="37" t="s">
        <v>322</v>
      </c>
      <c r="C18" s="7" t="s">
        <v>2</v>
      </c>
      <c r="D18" s="7">
        <v>400</v>
      </c>
      <c r="E18" s="31">
        <f>'1-Hypothèses'!C11</f>
        <v>0.54</v>
      </c>
      <c r="F18" s="30">
        <f>D18*E18*'1-Hypothèses'!B$5</f>
        <v>1080</v>
      </c>
      <c r="G18" s="30">
        <v>36.413347428197682</v>
      </c>
      <c r="H18" s="46">
        <f>G18/E18/'1-Hypothèses'!B$5</f>
        <v>13.486424973406548</v>
      </c>
      <c r="I18" s="44">
        <f t="shared" si="0"/>
        <v>3.3716062433516367E-2</v>
      </c>
      <c r="J18" s="30">
        <v>61.073017891099624</v>
      </c>
      <c r="K18" s="46">
        <f>J18/E16/'1-Hypothèses'!B$5</f>
        <v>25.447090787958174</v>
      </c>
      <c r="L18" s="47">
        <f t="shared" si="1"/>
        <v>6.3617726969895441E-2</v>
      </c>
      <c r="M18" s="7"/>
      <c r="N18" s="212">
        <v>51.758668164881882</v>
      </c>
      <c r="O18" s="212">
        <v>149.86929063188111</v>
      </c>
      <c r="P18" s="233">
        <f t="shared" si="3"/>
        <v>72.826694856395363</v>
      </c>
      <c r="Q18" s="45">
        <f t="shared" si="2"/>
        <v>137.41429025497416</v>
      </c>
      <c r="R18" s="229"/>
      <c r="S18" s="229"/>
    </row>
    <row r="19" spans="1:19" ht="49" customHeight="1" x14ac:dyDescent="0.3">
      <c r="A19" s="75" t="s">
        <v>42</v>
      </c>
      <c r="B19" s="75" t="s">
        <v>351</v>
      </c>
      <c r="C19" s="75" t="s">
        <v>36</v>
      </c>
      <c r="D19" s="75" t="s">
        <v>365</v>
      </c>
      <c r="E19" s="211">
        <f>'1-Hypothèses'!C11</f>
        <v>0.54</v>
      </c>
      <c r="F19" s="75" t="s">
        <v>365</v>
      </c>
      <c r="G19" s="79">
        <v>0</v>
      </c>
      <c r="H19" s="190">
        <f>G19/E19/'1-Hypothèses'!B$5</f>
        <v>0</v>
      </c>
      <c r="I19" s="75" t="s">
        <v>365</v>
      </c>
      <c r="J19" s="78">
        <v>24.5</v>
      </c>
      <c r="K19" s="190">
        <f>J19/E18/'1-Hypothèses'!B$5</f>
        <v>9.0740740740740726</v>
      </c>
      <c r="L19" s="75" t="s">
        <v>365</v>
      </c>
      <c r="M19" s="76"/>
      <c r="N19" s="203">
        <v>0</v>
      </c>
      <c r="O19" s="203">
        <v>74.797777777777782</v>
      </c>
      <c r="P19" s="232">
        <f t="shared" si="3"/>
        <v>0</v>
      </c>
      <c r="Q19" s="23">
        <f t="shared" si="2"/>
        <v>49</v>
      </c>
      <c r="R19" s="229"/>
      <c r="S19" s="229"/>
    </row>
    <row r="20" spans="1:19" ht="49" customHeight="1" x14ac:dyDescent="0.3">
      <c r="A20" s="303" t="s">
        <v>200</v>
      </c>
      <c r="B20" s="303" t="s">
        <v>202</v>
      </c>
      <c r="C20" s="7" t="s">
        <v>17</v>
      </c>
      <c r="D20" s="41">
        <v>148</v>
      </c>
      <c r="E20" s="137">
        <v>0.45</v>
      </c>
      <c r="F20" s="30">
        <f>D20*E20*'1-Hypothèses'!B$5</f>
        <v>333.00000000000006</v>
      </c>
      <c r="G20" s="30">
        <f>'1-Hypothèses'!B$23*('Annexe - Volume'!G$4+'Annexe - Volume'!G$8+'Annexe - Volume'!G$16+'Annexe - Volume'!G$17+'Annexe - Volume'!G$12+'Annexe - Volume'!G$18+G$19)</f>
        <v>8.2956673714098841</v>
      </c>
      <c r="H20" s="46">
        <f>G20/E20/'1-Hypothèses'!B$5</f>
        <v>3.6869632761821705</v>
      </c>
      <c r="I20" s="44">
        <f t="shared" si="0"/>
        <v>2.491191402825791E-2</v>
      </c>
      <c r="J20" s="45">
        <f>'1-Hypothèses'!B$23*('Annexe - Volume'!J$4+'Annexe - Volume'!J$8+'Annexe - Volume'!J$12+'Annexe - Volume'!J$16+'Annexe - Volume'!J$17+'Annexe - Volume'!J$18+'Annexe - Volume'!J$19)</f>
        <v>10.753650894554982</v>
      </c>
      <c r="K20" s="46">
        <f>J20/E20/'1-Hypothèses'!B$5</f>
        <v>4.7794003975799919</v>
      </c>
      <c r="L20" s="47">
        <f t="shared" si="1"/>
        <v>3.2293245929594538E-2</v>
      </c>
      <c r="M20" s="41"/>
      <c r="N20" s="212">
        <f>'1-Hypothèses'!B$23*('Annexe - Volume'!N$4+'Annexe - Volume'!N$8+'Annexe - Volume'!N$16+'Annexe - Volume'!N$17+'Annexe - Volume'!N$12+'Annexe - Volume'!N$18+N$19)-G20</f>
        <v>-3.2327339631657894</v>
      </c>
      <c r="O20" s="212">
        <f>'1-Hypothèses'!B$23*('Annexe - Volume'!O$4+'Annexe - Volume'!O$8+'Annexe - Volume'!O$16+'Annexe - Volume'!O$17+'Annexe - Volume'!O$12+'Annexe - Volume'!O$18+O$19)-J20</f>
        <v>6.9838691925946339</v>
      </c>
      <c r="P20" s="233">
        <f t="shared" si="3"/>
        <v>16.591334742819768</v>
      </c>
      <c r="Q20" s="45">
        <f t="shared" si="2"/>
        <v>21.507301789109963</v>
      </c>
      <c r="R20" s="229"/>
      <c r="S20" s="229"/>
    </row>
    <row r="21" spans="1:19" ht="49" customHeight="1" x14ac:dyDescent="0.3">
      <c r="A21" s="303"/>
      <c r="B21" s="303"/>
      <c r="C21" s="7" t="s">
        <v>18</v>
      </c>
      <c r="D21" s="41">
        <v>169</v>
      </c>
      <c r="E21" s="39">
        <f>AVERAGE(0.59,0.48)</f>
        <v>0.53499999999999992</v>
      </c>
      <c r="F21" s="30">
        <f>D21*E21*'1-Hypothèses'!B$5</f>
        <v>452.07499999999993</v>
      </c>
      <c r="G21" s="30">
        <f>'1-Hypothèses'!B$23*('Annexe - Volume'!G$4+'Annexe - Volume'!G$8+'Annexe - Volume'!G$16+'Annexe - Volume'!G$17+'Annexe - Volume'!G$12+'Annexe - Volume'!G$18+G$19)</f>
        <v>8.2956673714098841</v>
      </c>
      <c r="H21" s="46">
        <f>G21/E21/'1-Hypothèses'!B$5</f>
        <v>3.101184064078462</v>
      </c>
      <c r="I21" s="44">
        <f t="shared" si="0"/>
        <v>1.835020156259445E-2</v>
      </c>
      <c r="J21" s="45">
        <f>'1-Hypothèses'!B$23*('Annexe - Volume'!J$4+'Annexe - Volume'!J$8+'Annexe - Volume'!J$12+'Annexe - Volume'!J$16+'Annexe - Volume'!J$17+'Annexe - Volume'!J$18+'Annexe - Volume'!J$19)</f>
        <v>10.753650894554982</v>
      </c>
      <c r="K21" s="46">
        <f>J21/E21/'1-Hypothèses'!B$5</f>
        <v>4.0200564091794329</v>
      </c>
      <c r="L21" s="47">
        <f t="shared" si="1"/>
        <v>2.3787316030647532E-2</v>
      </c>
      <c r="M21" s="41"/>
      <c r="N21" s="212">
        <f>'1-Hypothèses'!B$23*('Annexe - Volume'!N$4+'Annexe - Volume'!N$8+'Annexe - Volume'!N$16+'Annexe - Volume'!N$17+'Annexe - Volume'!N$12+'Annexe - Volume'!N$18+N$19)-G21</f>
        <v>-3.2327339631657894</v>
      </c>
      <c r="O21" s="212">
        <f>'1-Hypothèses'!B$23*('Annexe - Volume'!O$4+'Annexe - Volume'!O$8+'Annexe - Volume'!O$16+'Annexe - Volume'!O$17+'Annexe - Volume'!O$12+'Annexe - Volume'!O$18+O$19)-J21</f>
        <v>6.9838691925946339</v>
      </c>
      <c r="P21" s="233">
        <f t="shared" si="3"/>
        <v>16.591334742819768</v>
      </c>
      <c r="Q21" s="45">
        <f t="shared" si="2"/>
        <v>21.507301789109963</v>
      </c>
      <c r="R21" s="229"/>
      <c r="S21" s="229"/>
    </row>
    <row r="22" spans="1:19" ht="49" customHeight="1" x14ac:dyDescent="0.3">
      <c r="A22" s="123" t="s">
        <v>201</v>
      </c>
      <c r="B22" s="123" t="s">
        <v>203</v>
      </c>
      <c r="C22" s="123" t="s">
        <v>16</v>
      </c>
      <c r="D22" s="184">
        <v>52</v>
      </c>
      <c r="E22" s="185">
        <f>AVERAGE(0.68,0.48)</f>
        <v>0.58000000000000007</v>
      </c>
      <c r="F22" s="205">
        <f>D22*E22*'1-Hypothèses'!B$5</f>
        <v>150.80000000000001</v>
      </c>
      <c r="G22" s="206">
        <f>'1-Hypothèses'!B24*('Annexe - Volume'!G4+'Annexe - Volume'!G8+'Annexe - Volume'!G12+'Annexe - Volume'!G16+'Annexe - Volume'!G17+'Annexe - Volume'!G18)</f>
        <v>8.2956673714098841</v>
      </c>
      <c r="H22" s="207">
        <f>G22/E22/'1-Hypothèses'!B$5</f>
        <v>2.8605749556585804</v>
      </c>
      <c r="I22" s="208">
        <f t="shared" si="0"/>
        <v>5.5011056839588082E-2</v>
      </c>
      <c r="J22" s="187">
        <f>'1-Hypothèses'!B24*('Annexe - Volume'!J4+'Annexe - Volume'!J8+'Annexe - Volume'!J12+'Annexe - Volume'!J16+'Annexe - Volume'!J17+'Annexe - Volume'!J18+'Annexe - Volume'!J19)</f>
        <v>10.753650894554982</v>
      </c>
      <c r="K22" s="207">
        <f>J22/E20/'1-Hypothèses'!B$5</f>
        <v>4.7794003975799919</v>
      </c>
      <c r="L22" s="209">
        <f t="shared" si="1"/>
        <v>9.1911546107307535E-2</v>
      </c>
      <c r="M22" s="184"/>
      <c r="N22" s="203">
        <f>'1-Hypothèses'!B24*('Annexe - Volume'!N4+'Annexe - Volume'!N8+'Annexe - Volume'!N12+'Annexe - Volume'!N16+'Annexe - Volume'!N17+'Annexe - Volume'!N18)-G22</f>
        <v>-3.2327339631657894</v>
      </c>
      <c r="O22" s="203">
        <f>'1-Hypothèses'!B24*('Annexe - Volume'!O4+'Annexe - Volume'!O8+'Annexe - Volume'!O12+'Annexe - Volume'!O16+'Annexe - Volume'!O17+'Annexe - Volume'!O18)-J22</f>
        <v>3.243980303705742</v>
      </c>
      <c r="P22" s="232">
        <f>H22*10*E22</f>
        <v>16.591334742819768</v>
      </c>
      <c r="Q22" s="23">
        <f t="shared" si="2"/>
        <v>27.720522305963957</v>
      </c>
      <c r="R22" s="229"/>
      <c r="S22" s="229"/>
    </row>
    <row r="23" spans="1:19" ht="16" customHeight="1" x14ac:dyDescent="0.3">
      <c r="A23" s="230" t="s">
        <v>355</v>
      </c>
      <c r="B23" s="230"/>
      <c r="C23" s="230"/>
      <c r="D23" s="230"/>
      <c r="E23" s="230"/>
      <c r="F23" s="230"/>
      <c r="G23" s="230"/>
      <c r="H23" s="230"/>
      <c r="I23" s="230"/>
      <c r="J23" s="230"/>
      <c r="K23" s="230"/>
      <c r="L23" s="230"/>
      <c r="M23" s="230"/>
      <c r="N23" s="230"/>
      <c r="O23" s="230"/>
      <c r="P23" s="230"/>
      <c r="Q23" s="226"/>
      <c r="R23" s="231"/>
      <c r="S23" s="231"/>
    </row>
    <row r="24" spans="1:19" ht="34" customHeight="1" x14ac:dyDescent="0.3">
      <c r="A24" s="338" t="s">
        <v>34</v>
      </c>
      <c r="B24" s="338" t="s">
        <v>92</v>
      </c>
      <c r="C24" s="42" t="s">
        <v>48</v>
      </c>
      <c r="D24" s="176">
        <v>73</v>
      </c>
      <c r="E24" s="80">
        <f>AVERAGE(0.61,0.55)</f>
        <v>0.58000000000000007</v>
      </c>
      <c r="F24" s="81">
        <f>D24*'1-Hypothèses'!B$5*E24</f>
        <v>211.70000000000002</v>
      </c>
      <c r="G24" s="81">
        <v>60</v>
      </c>
      <c r="H24" s="210">
        <f>G24/E24/'1-Hypothèses'!B$5</f>
        <v>20.68965517241379</v>
      </c>
      <c r="I24" s="80">
        <f>H24/D24</f>
        <v>0.28341993386868203</v>
      </c>
      <c r="J24" s="81">
        <v>60</v>
      </c>
      <c r="K24" s="210">
        <f>J24/E24/'1-Hypothèses'!B$5</f>
        <v>20.68965517241379</v>
      </c>
      <c r="L24" s="80">
        <f>K24/D24</f>
        <v>0.28341993386868203</v>
      </c>
      <c r="M24" s="176"/>
      <c r="N24" s="45">
        <v>0</v>
      </c>
      <c r="O24" s="45">
        <v>0</v>
      </c>
      <c r="P24" s="41">
        <f>H24*10*E24</f>
        <v>120</v>
      </c>
      <c r="Q24" s="41">
        <f>K24*10*E24</f>
        <v>120</v>
      </c>
    </row>
    <row r="25" spans="1:19" ht="32" customHeight="1" x14ac:dyDescent="0.3">
      <c r="A25" s="338"/>
      <c r="B25" s="338"/>
      <c r="C25" s="7" t="s">
        <v>47</v>
      </c>
      <c r="D25" s="41">
        <v>40</v>
      </c>
      <c r="E25" s="39">
        <f>AVERAGE(0.75,0.64)</f>
        <v>0.69500000000000006</v>
      </c>
      <c r="F25" s="45">
        <f>D25*'1-Hypothèses'!B$5*E25</f>
        <v>139</v>
      </c>
      <c r="G25" s="45">
        <v>60</v>
      </c>
      <c r="H25" s="48">
        <f>G25/E25/'1-Hypothèses'!B$5</f>
        <v>17.266187050359711</v>
      </c>
      <c r="I25" s="39">
        <f>H25/D25</f>
        <v>0.43165467625899279</v>
      </c>
      <c r="J25" s="45">
        <v>60</v>
      </c>
      <c r="K25" s="48">
        <f>J25/E25/'1-Hypothèses'!B$5</f>
        <v>17.266187050359711</v>
      </c>
      <c r="L25" s="39">
        <f>K25/D25</f>
        <v>0.43165467625899279</v>
      </c>
      <c r="M25" s="41"/>
      <c r="N25" s="45">
        <v>0</v>
      </c>
      <c r="O25" s="45">
        <v>0</v>
      </c>
      <c r="P25" s="41">
        <f>H25*10*E25</f>
        <v>120.00000000000001</v>
      </c>
      <c r="Q25" s="41">
        <f t="shared" ref="Q25:Q43" si="6">K25*10*E25</f>
        <v>120.00000000000001</v>
      </c>
    </row>
    <row r="26" spans="1:19" ht="26.5" customHeight="1" x14ac:dyDescent="0.3">
      <c r="A26" s="338"/>
      <c r="B26" s="338"/>
      <c r="C26" s="7" t="s">
        <v>55</v>
      </c>
      <c r="D26" s="41">
        <v>58</v>
      </c>
      <c r="E26" s="39">
        <f>'1-Hypothèses'!C12</f>
        <v>0.64</v>
      </c>
      <c r="F26" s="45">
        <f>D26*'1-Hypothèses'!B$5*E26</f>
        <v>185.6</v>
      </c>
      <c r="G26" s="45">
        <v>60</v>
      </c>
      <c r="H26" s="48">
        <f>G26/E26/'1-Hypothèses'!B$5</f>
        <v>18.75</v>
      </c>
      <c r="I26" s="39">
        <f>H26/D26</f>
        <v>0.32327586206896552</v>
      </c>
      <c r="J26" s="45">
        <v>60</v>
      </c>
      <c r="K26" s="48">
        <f>J26/E26/'1-Hypothèses'!B$5</f>
        <v>18.75</v>
      </c>
      <c r="L26" s="39">
        <f t="shared" ref="L26:L71" si="7">K26/D26</f>
        <v>0.32327586206896552</v>
      </c>
      <c r="M26" s="41"/>
      <c r="N26" s="45">
        <v>0</v>
      </c>
      <c r="O26" s="45">
        <v>0</v>
      </c>
      <c r="P26" s="41">
        <f t="shared" ref="P26:P43" si="8">H26*10*E26</f>
        <v>120</v>
      </c>
      <c r="Q26" s="41">
        <f t="shared" si="6"/>
        <v>120</v>
      </c>
    </row>
    <row r="27" spans="1:19" ht="36.5" customHeight="1" x14ac:dyDescent="0.3">
      <c r="A27" s="338"/>
      <c r="B27" s="338"/>
      <c r="C27" s="7" t="s">
        <v>54</v>
      </c>
      <c r="D27" s="41">
        <v>4</v>
      </c>
      <c r="E27" s="39">
        <f>AVERAGE(0.7,0.78)</f>
        <v>0.74</v>
      </c>
      <c r="F27" s="45">
        <f>D27*'1-Hypothèses'!B$5*E27</f>
        <v>14.8</v>
      </c>
      <c r="G27" s="45">
        <v>60</v>
      </c>
      <c r="H27" s="48">
        <f>G27/E27/'1-Hypothèses'!B$5</f>
        <v>16.216216216216218</v>
      </c>
      <c r="I27" s="39">
        <f t="shared" ref="I27:I71" si="9">H27/D27</f>
        <v>4.0540540540540544</v>
      </c>
      <c r="J27" s="45">
        <v>60</v>
      </c>
      <c r="K27" s="48">
        <f>J27/E27/'1-Hypothèses'!B$5</f>
        <v>16.216216216216218</v>
      </c>
      <c r="L27" s="39">
        <f t="shared" si="7"/>
        <v>4.0540540540540544</v>
      </c>
      <c r="M27" s="7"/>
      <c r="N27" s="45">
        <v>0</v>
      </c>
      <c r="O27" s="45">
        <v>0</v>
      </c>
      <c r="P27" s="41">
        <f t="shared" si="8"/>
        <v>120.00000000000001</v>
      </c>
      <c r="Q27" s="41">
        <f t="shared" si="6"/>
        <v>120.00000000000001</v>
      </c>
    </row>
    <row r="28" spans="1:19" ht="36.5" customHeight="1" x14ac:dyDescent="0.3">
      <c r="A28" s="338"/>
      <c r="B28" s="338"/>
      <c r="C28" s="7" t="s">
        <v>88</v>
      </c>
      <c r="D28" s="7" t="s">
        <v>365</v>
      </c>
      <c r="E28" s="7" t="s">
        <v>365</v>
      </c>
      <c r="F28" s="7" t="s">
        <v>365</v>
      </c>
      <c r="G28" s="45"/>
      <c r="H28" s="48"/>
      <c r="I28" s="39"/>
      <c r="J28" s="45"/>
      <c r="K28" s="48"/>
      <c r="L28" s="39"/>
      <c r="M28" s="41" t="s">
        <v>438</v>
      </c>
      <c r="N28" s="45"/>
      <c r="O28" s="45"/>
      <c r="P28" s="41"/>
      <c r="Q28" s="41"/>
    </row>
    <row r="29" spans="1:19" ht="36.5" customHeight="1" x14ac:dyDescent="0.3">
      <c r="A29" s="338"/>
      <c r="B29" s="338"/>
      <c r="C29" s="7" t="s">
        <v>89</v>
      </c>
      <c r="D29" s="7" t="s">
        <v>365</v>
      </c>
      <c r="E29" s="7" t="s">
        <v>365</v>
      </c>
      <c r="F29" s="7" t="s">
        <v>365</v>
      </c>
      <c r="G29" s="45"/>
      <c r="H29" s="48"/>
      <c r="I29" s="39"/>
      <c r="J29" s="45"/>
      <c r="K29" s="48"/>
      <c r="L29" s="39"/>
      <c r="M29" s="41"/>
      <c r="N29" s="45"/>
      <c r="O29" s="45"/>
      <c r="P29" s="41"/>
      <c r="Q29" s="41"/>
    </row>
    <row r="30" spans="1:19" ht="36.5" customHeight="1" x14ac:dyDescent="0.3">
      <c r="A30" s="347" t="s">
        <v>33</v>
      </c>
      <c r="B30" s="347" t="s">
        <v>92</v>
      </c>
      <c r="C30" s="97" t="s">
        <v>48</v>
      </c>
      <c r="D30" s="93">
        <v>73</v>
      </c>
      <c r="E30" s="90">
        <f>AVERAGE(0.61,0.55)</f>
        <v>0.58000000000000007</v>
      </c>
      <c r="F30" s="92">
        <f>D30*'1-Hypothèses'!B$5*E30</f>
        <v>211.70000000000002</v>
      </c>
      <c r="G30" s="92">
        <v>20</v>
      </c>
      <c r="H30" s="181">
        <f>G30/E30/'1-Hypothèses'!B$5</f>
        <v>6.8965517241379306</v>
      </c>
      <c r="I30" s="90">
        <f t="shared" si="9"/>
        <v>9.4473311289560699E-2</v>
      </c>
      <c r="J30" s="92">
        <v>20</v>
      </c>
      <c r="K30" s="181">
        <f>J30/E30/'1-Hypothèses'!B$5</f>
        <v>6.8965517241379306</v>
      </c>
      <c r="L30" s="90">
        <f t="shared" si="7"/>
        <v>9.4473311289560699E-2</v>
      </c>
      <c r="M30" s="93"/>
      <c r="N30" s="23">
        <v>0</v>
      </c>
      <c r="O30" s="23">
        <v>0</v>
      </c>
      <c r="P30" s="9">
        <f t="shared" si="8"/>
        <v>40</v>
      </c>
      <c r="Q30" s="9">
        <f t="shared" si="6"/>
        <v>40</v>
      </c>
    </row>
    <row r="31" spans="1:19" ht="36.5" customHeight="1" x14ac:dyDescent="0.3">
      <c r="A31" s="348"/>
      <c r="B31" s="348"/>
      <c r="C31" s="97" t="s">
        <v>47</v>
      </c>
      <c r="D31" s="93">
        <v>40</v>
      </c>
      <c r="E31" s="90">
        <f>AVERAGE(0.75,0.64)</f>
        <v>0.69500000000000006</v>
      </c>
      <c r="F31" s="92">
        <f>D31*'1-Hypothèses'!B$5*E31</f>
        <v>139</v>
      </c>
      <c r="G31" s="92">
        <v>20</v>
      </c>
      <c r="H31" s="181">
        <f>G31/E31/'1-Hypothèses'!B$5</f>
        <v>5.7553956834532372</v>
      </c>
      <c r="I31" s="90">
        <f t="shared" si="9"/>
        <v>0.14388489208633093</v>
      </c>
      <c r="J31" s="92">
        <v>20</v>
      </c>
      <c r="K31" s="181">
        <f>J31/E31/'1-Hypothèses'!B$5</f>
        <v>5.7553956834532372</v>
      </c>
      <c r="L31" s="90">
        <f t="shared" si="7"/>
        <v>0.14388489208633093</v>
      </c>
      <c r="M31" s="93"/>
      <c r="N31" s="23">
        <v>0</v>
      </c>
      <c r="O31" s="23">
        <v>0</v>
      </c>
      <c r="P31" s="9">
        <f t="shared" si="8"/>
        <v>40</v>
      </c>
      <c r="Q31" s="9">
        <f t="shared" si="6"/>
        <v>40</v>
      </c>
    </row>
    <row r="32" spans="1:19" ht="36.5" customHeight="1" x14ac:dyDescent="0.3">
      <c r="A32" s="348"/>
      <c r="B32" s="348"/>
      <c r="C32" s="97" t="s">
        <v>49</v>
      </c>
      <c r="D32" s="97" t="s">
        <v>365</v>
      </c>
      <c r="E32" s="90">
        <f>'1-Hypothèses'!C14</f>
        <v>0.9</v>
      </c>
      <c r="F32" s="97" t="s">
        <v>365</v>
      </c>
      <c r="G32" s="92">
        <v>20</v>
      </c>
      <c r="H32" s="181">
        <f>G32/E32/'1-Hypothèses'!B$5</f>
        <v>4.4444444444444446</v>
      </c>
      <c r="I32" s="97" t="s">
        <v>365</v>
      </c>
      <c r="J32" s="92">
        <v>20</v>
      </c>
      <c r="K32" s="181">
        <f>J32/E32/'1-Hypothèses'!B$5</f>
        <v>4.4444444444444446</v>
      </c>
      <c r="L32" s="97" t="s">
        <v>365</v>
      </c>
      <c r="M32" s="93"/>
      <c r="N32" s="23">
        <v>0</v>
      </c>
      <c r="O32" s="23">
        <v>0</v>
      </c>
      <c r="P32" s="9">
        <f t="shared" si="8"/>
        <v>40</v>
      </c>
      <c r="Q32" s="9">
        <f t="shared" si="6"/>
        <v>40</v>
      </c>
    </row>
    <row r="33" spans="1:17" ht="36.5" customHeight="1" x14ac:dyDescent="0.3">
      <c r="A33" s="348"/>
      <c r="B33" s="348"/>
      <c r="C33" s="97" t="s">
        <v>51</v>
      </c>
      <c r="D33" s="97">
        <v>9</v>
      </c>
      <c r="E33" s="182">
        <v>1</v>
      </c>
      <c r="F33" s="97" t="s">
        <v>365</v>
      </c>
      <c r="G33" s="92">
        <v>20</v>
      </c>
      <c r="H33" s="181">
        <f>G33/E33/'1-Hypothèses'!B$5</f>
        <v>4</v>
      </c>
      <c r="I33" s="280">
        <f>H33/D33</f>
        <v>0.44444444444444442</v>
      </c>
      <c r="J33" s="92">
        <v>20</v>
      </c>
      <c r="K33" s="181">
        <f>J33/E33/'1-Hypothèses'!B$5</f>
        <v>4</v>
      </c>
      <c r="L33" s="280">
        <f>K33/D33</f>
        <v>0.44444444444444442</v>
      </c>
      <c r="M33" s="93"/>
      <c r="N33" s="23">
        <v>0</v>
      </c>
      <c r="O33" s="23">
        <v>0</v>
      </c>
      <c r="P33" s="9">
        <f t="shared" si="8"/>
        <v>40</v>
      </c>
      <c r="Q33" s="9">
        <f t="shared" si="6"/>
        <v>40</v>
      </c>
    </row>
    <row r="34" spans="1:17" ht="36.5" customHeight="1" x14ac:dyDescent="0.3">
      <c r="A34" s="348"/>
      <c r="B34" s="348"/>
      <c r="C34" s="97" t="s">
        <v>52</v>
      </c>
      <c r="D34" s="97" t="s">
        <v>365</v>
      </c>
      <c r="E34" s="90">
        <v>1</v>
      </c>
      <c r="F34" s="97" t="s">
        <v>365</v>
      </c>
      <c r="G34" s="92">
        <v>20</v>
      </c>
      <c r="H34" s="181">
        <f>G34/E34/'1-Hypothèses'!B$5</f>
        <v>4</v>
      </c>
      <c r="I34" s="97" t="s">
        <v>365</v>
      </c>
      <c r="J34" s="92">
        <v>20</v>
      </c>
      <c r="K34" s="181">
        <f>J34/E34/'1-Hypothèses'!B$5</f>
        <v>4</v>
      </c>
      <c r="L34" s="97" t="s">
        <v>365</v>
      </c>
      <c r="M34" s="93"/>
      <c r="N34" s="23">
        <v>0</v>
      </c>
      <c r="O34" s="23">
        <v>0</v>
      </c>
      <c r="P34" s="9">
        <f t="shared" si="8"/>
        <v>40</v>
      </c>
      <c r="Q34" s="9">
        <f t="shared" si="6"/>
        <v>40</v>
      </c>
    </row>
    <row r="35" spans="1:17" ht="36.5" customHeight="1" x14ac:dyDescent="0.3">
      <c r="A35" s="348"/>
      <c r="B35" s="348"/>
      <c r="C35" s="97" t="s">
        <v>53</v>
      </c>
      <c r="D35" s="93">
        <v>139</v>
      </c>
      <c r="E35" s="90">
        <f>AVERAGE(0.66,0.79)</f>
        <v>0.72500000000000009</v>
      </c>
      <c r="F35" s="92">
        <f>D35*'1-Hypothèses'!B$5*E35</f>
        <v>503.87500000000006</v>
      </c>
      <c r="G35" s="92">
        <v>20</v>
      </c>
      <c r="H35" s="181">
        <f>G35/E35/'1-Hypothèses'!B$5</f>
        <v>5.5172413793103443</v>
      </c>
      <c r="I35" s="90">
        <f t="shared" si="9"/>
        <v>3.9692384023815426E-2</v>
      </c>
      <c r="J35" s="92">
        <v>20</v>
      </c>
      <c r="K35" s="181">
        <f>J35/E35/'1-Hypothèses'!B$5</f>
        <v>5.5172413793103443</v>
      </c>
      <c r="L35" s="90">
        <f t="shared" si="7"/>
        <v>3.9692384023815426E-2</v>
      </c>
      <c r="M35" s="93"/>
      <c r="N35" s="23">
        <v>0</v>
      </c>
      <c r="O35" s="23">
        <v>0</v>
      </c>
      <c r="P35" s="9">
        <f t="shared" si="8"/>
        <v>40</v>
      </c>
      <c r="Q35" s="9">
        <f t="shared" si="6"/>
        <v>40</v>
      </c>
    </row>
    <row r="36" spans="1:17" ht="36.5" customHeight="1" x14ac:dyDescent="0.3">
      <c r="A36" s="348"/>
      <c r="B36" s="348"/>
      <c r="C36" s="97" t="s">
        <v>55</v>
      </c>
      <c r="D36" s="93">
        <v>58</v>
      </c>
      <c r="E36" s="90">
        <f>'1-Hypothèses'!C12</f>
        <v>0.64</v>
      </c>
      <c r="F36" s="92">
        <f>D36*'1-Hypothèses'!B$5*E36</f>
        <v>185.6</v>
      </c>
      <c r="G36" s="92">
        <v>20</v>
      </c>
      <c r="H36" s="181">
        <f>G36/E36/'1-Hypothèses'!B$5</f>
        <v>6.25</v>
      </c>
      <c r="I36" s="90">
        <f t="shared" si="9"/>
        <v>0.10775862068965517</v>
      </c>
      <c r="J36" s="92">
        <v>20</v>
      </c>
      <c r="K36" s="181">
        <f>J36/E36/'1-Hypothèses'!B$5</f>
        <v>6.25</v>
      </c>
      <c r="L36" s="90">
        <f t="shared" si="7"/>
        <v>0.10775862068965517</v>
      </c>
      <c r="M36" s="93"/>
      <c r="N36" s="23">
        <v>0</v>
      </c>
      <c r="O36" s="23">
        <v>0</v>
      </c>
      <c r="P36" s="9">
        <f t="shared" si="8"/>
        <v>40</v>
      </c>
      <c r="Q36" s="9">
        <f t="shared" si="6"/>
        <v>40</v>
      </c>
    </row>
    <row r="37" spans="1:17" ht="33.5" customHeight="1" x14ac:dyDescent="0.3">
      <c r="A37" s="337" t="s">
        <v>8</v>
      </c>
      <c r="B37" s="349" t="s">
        <v>58</v>
      </c>
      <c r="C37" s="7" t="s">
        <v>59</v>
      </c>
      <c r="D37" s="41">
        <v>12</v>
      </c>
      <c r="E37" s="39">
        <f>'1-Hypothèses'!C12</f>
        <v>0.64</v>
      </c>
      <c r="F37" s="45">
        <f>D37*'1-Hypothèses'!B$5*E37</f>
        <v>38.4</v>
      </c>
      <c r="G37" s="45">
        <v>9.75</v>
      </c>
      <c r="H37" s="48">
        <f>G37/E37/'1-Hypothèses'!B$5</f>
        <v>3.046875</v>
      </c>
      <c r="I37" s="39">
        <f t="shared" si="9"/>
        <v>0.25390625</v>
      </c>
      <c r="J37" s="45">
        <v>9.75</v>
      </c>
      <c r="K37" s="48">
        <f>J37/E37/'1-Hypothèses'!B$5</f>
        <v>3.046875</v>
      </c>
      <c r="L37" s="39">
        <f t="shared" si="7"/>
        <v>0.25390625</v>
      </c>
      <c r="M37" s="41"/>
      <c r="N37" s="45">
        <v>9.75</v>
      </c>
      <c r="O37" s="45">
        <v>29.25</v>
      </c>
      <c r="P37" s="45">
        <f t="shared" si="8"/>
        <v>19.5</v>
      </c>
      <c r="Q37" s="45">
        <f t="shared" si="6"/>
        <v>19.5</v>
      </c>
    </row>
    <row r="38" spans="1:17" ht="33.5" customHeight="1" x14ac:dyDescent="0.3">
      <c r="A38" s="338"/>
      <c r="B38" s="350"/>
      <c r="C38" s="7" t="s">
        <v>60</v>
      </c>
      <c r="D38" s="41">
        <v>30</v>
      </c>
      <c r="E38" s="39">
        <v>0.38</v>
      </c>
      <c r="F38" s="45">
        <f>D38*'1-Hypothèses'!B$5*E38</f>
        <v>57</v>
      </c>
      <c r="G38" s="45">
        <v>9.75</v>
      </c>
      <c r="H38" s="48">
        <f>G38/E38/'1-Hypothèses'!B$5</f>
        <v>5.1315789473684212</v>
      </c>
      <c r="I38" s="39">
        <f t="shared" si="9"/>
        <v>0.17105263157894737</v>
      </c>
      <c r="J38" s="45">
        <v>9.75</v>
      </c>
      <c r="K38" s="48">
        <f>J38/E38/'1-Hypothèses'!B$5</f>
        <v>5.1315789473684212</v>
      </c>
      <c r="L38" s="39">
        <f t="shared" si="7"/>
        <v>0.17105263157894737</v>
      </c>
      <c r="M38" s="41"/>
      <c r="N38" s="45">
        <v>9.75</v>
      </c>
      <c r="O38" s="45">
        <v>29.25</v>
      </c>
      <c r="P38" s="45">
        <f t="shared" si="8"/>
        <v>19.5</v>
      </c>
      <c r="Q38" s="45">
        <f t="shared" si="6"/>
        <v>19.5</v>
      </c>
    </row>
    <row r="39" spans="1:17" ht="33.5" customHeight="1" x14ac:dyDescent="0.3">
      <c r="A39" s="339"/>
      <c r="B39" s="351"/>
      <c r="C39" s="7" t="s">
        <v>61</v>
      </c>
      <c r="D39" s="41">
        <v>15</v>
      </c>
      <c r="E39" s="39">
        <f>'1-Hypothèses'!C13</f>
        <v>0.6</v>
      </c>
      <c r="F39" s="45">
        <f>D39*'1-Hypothèses'!B$5*E39</f>
        <v>45</v>
      </c>
      <c r="G39" s="45">
        <v>9.75</v>
      </c>
      <c r="H39" s="48">
        <f>G39/E39/'1-Hypothèses'!B$5</f>
        <v>3.25</v>
      </c>
      <c r="I39" s="39">
        <f t="shared" si="9"/>
        <v>0.21666666666666667</v>
      </c>
      <c r="J39" s="45">
        <v>9.75</v>
      </c>
      <c r="K39" s="48">
        <f>J39/E39/'1-Hypothèses'!B$5</f>
        <v>3.25</v>
      </c>
      <c r="L39" s="39">
        <f t="shared" si="7"/>
        <v>0.21666666666666667</v>
      </c>
      <c r="M39" s="41"/>
      <c r="N39" s="45">
        <v>9.75</v>
      </c>
      <c r="O39" s="45">
        <v>29.25</v>
      </c>
      <c r="P39" s="45">
        <f t="shared" si="8"/>
        <v>19.5</v>
      </c>
      <c r="Q39" s="45">
        <f t="shared" si="6"/>
        <v>19.5</v>
      </c>
    </row>
    <row r="40" spans="1:17" ht="38" customHeight="1" x14ac:dyDescent="0.3">
      <c r="A40" s="323" t="s">
        <v>14</v>
      </c>
      <c r="B40" s="323" t="s">
        <v>62</v>
      </c>
      <c r="C40" s="12" t="s">
        <v>45</v>
      </c>
      <c r="D40" s="97" t="s">
        <v>365</v>
      </c>
      <c r="E40" s="28">
        <v>0.9</v>
      </c>
      <c r="F40" s="97" t="s">
        <v>365</v>
      </c>
      <c r="G40" s="23">
        <v>19.5</v>
      </c>
      <c r="H40" s="35">
        <f>G40/E40/'1-Hypothèses'!B$5</f>
        <v>4.3333333333333339</v>
      </c>
      <c r="I40" s="97" t="s">
        <v>365</v>
      </c>
      <c r="J40" s="23">
        <v>19.5</v>
      </c>
      <c r="K40" s="35">
        <f>J40/E40/'1-Hypothèses'!B$5</f>
        <v>4.3333333333333339</v>
      </c>
      <c r="L40" s="97" t="s">
        <v>365</v>
      </c>
      <c r="M40" s="9"/>
      <c r="N40" s="23">
        <v>19.5</v>
      </c>
      <c r="O40" s="23">
        <v>19.5</v>
      </c>
      <c r="P40" s="23">
        <f t="shared" si="8"/>
        <v>39.000000000000007</v>
      </c>
      <c r="Q40" s="23">
        <f t="shared" si="6"/>
        <v>39.000000000000007</v>
      </c>
    </row>
    <row r="41" spans="1:17" ht="33.5" customHeight="1" x14ac:dyDescent="0.3">
      <c r="A41" s="324"/>
      <c r="B41" s="324"/>
      <c r="C41" s="12" t="s">
        <v>47</v>
      </c>
      <c r="D41" s="9">
        <v>40</v>
      </c>
      <c r="E41" s="28">
        <f>AVERAGE(0.75,0.64)</f>
        <v>0.69500000000000006</v>
      </c>
      <c r="F41" s="23">
        <f>D41*'1-Hypothèses'!B$5*E41</f>
        <v>139</v>
      </c>
      <c r="G41" s="23">
        <v>19.5</v>
      </c>
      <c r="H41" s="35">
        <f>G41/E41/'1-Hypothèses'!B$5</f>
        <v>5.6115107913669053</v>
      </c>
      <c r="I41" s="28">
        <f t="shared" si="9"/>
        <v>0.14028776978417262</v>
      </c>
      <c r="J41" s="23">
        <v>19.5</v>
      </c>
      <c r="K41" s="35">
        <f>J41/E41/'1-Hypothèses'!B$5</f>
        <v>5.6115107913669053</v>
      </c>
      <c r="L41" s="28">
        <f t="shared" si="7"/>
        <v>0.14028776978417262</v>
      </c>
      <c r="M41" s="9"/>
      <c r="N41" s="23">
        <v>19.5</v>
      </c>
      <c r="O41" s="23">
        <v>19.5</v>
      </c>
      <c r="P41" s="23">
        <f t="shared" si="8"/>
        <v>38.999999999999993</v>
      </c>
      <c r="Q41" s="23">
        <f t="shared" si="6"/>
        <v>38.999999999999993</v>
      </c>
    </row>
    <row r="42" spans="1:17" ht="23.5" customHeight="1" x14ac:dyDescent="0.3">
      <c r="A42" s="337" t="s">
        <v>15</v>
      </c>
      <c r="B42" s="345" t="s">
        <v>287</v>
      </c>
      <c r="C42" s="7" t="s">
        <v>65</v>
      </c>
      <c r="D42" s="41">
        <v>367</v>
      </c>
      <c r="E42" s="39">
        <f>AVERAGE(0.74,0.66)</f>
        <v>0.7</v>
      </c>
      <c r="F42" s="45">
        <f>D42*'1-Hypothèses'!B$5*E42</f>
        <v>1284.5</v>
      </c>
      <c r="G42" s="45">
        <v>30</v>
      </c>
      <c r="H42" s="48">
        <f>G42/E42/'1-Hypothèses'!B$5</f>
        <v>8.571428571428573</v>
      </c>
      <c r="I42" s="39">
        <f t="shared" si="9"/>
        <v>2.3355391202802653E-2</v>
      </c>
      <c r="J42" s="45">
        <v>30</v>
      </c>
      <c r="K42" s="48">
        <f>J42/E42/'1-Hypothèses'!B$5</f>
        <v>8.571428571428573</v>
      </c>
      <c r="L42" s="39">
        <f t="shared" si="7"/>
        <v>2.3355391202802653E-2</v>
      </c>
      <c r="M42" s="41"/>
      <c r="N42" s="45">
        <v>30</v>
      </c>
      <c r="O42" s="45">
        <v>90</v>
      </c>
      <c r="P42" s="45">
        <f t="shared" si="8"/>
        <v>60</v>
      </c>
      <c r="Q42" s="45">
        <f t="shared" si="6"/>
        <v>60</v>
      </c>
    </row>
    <row r="43" spans="1:17" ht="67" customHeight="1" x14ac:dyDescent="0.3">
      <c r="A43" s="339"/>
      <c r="B43" s="345"/>
      <c r="C43" s="7" t="s">
        <v>64</v>
      </c>
      <c r="D43" s="41">
        <v>18</v>
      </c>
      <c r="E43" s="39">
        <f>AVERAGE(0.74,0.59)</f>
        <v>0.66500000000000004</v>
      </c>
      <c r="F43" s="45">
        <f>D43*'1-Hypothèses'!B$5*E43</f>
        <v>59.85</v>
      </c>
      <c r="G43" s="45">
        <v>30</v>
      </c>
      <c r="H43" s="48">
        <f>G43/E43/'1-Hypothèses'!B$5</f>
        <v>9.022556390977444</v>
      </c>
      <c r="I43" s="39">
        <f t="shared" si="9"/>
        <v>0.50125313283208017</v>
      </c>
      <c r="J43" s="45">
        <v>30</v>
      </c>
      <c r="K43" s="48">
        <f>J43/E43/'1-Hypothèses'!B$5</f>
        <v>9.022556390977444</v>
      </c>
      <c r="L43" s="39">
        <f t="shared" si="7"/>
        <v>0.50125313283208017</v>
      </c>
      <c r="M43" s="41"/>
      <c r="N43" s="45">
        <v>30</v>
      </c>
      <c r="O43" s="45">
        <v>90</v>
      </c>
      <c r="P43" s="45">
        <f t="shared" si="8"/>
        <v>60</v>
      </c>
      <c r="Q43" s="45">
        <f t="shared" si="6"/>
        <v>60</v>
      </c>
    </row>
    <row r="44" spans="1:17" ht="67" customHeight="1" x14ac:dyDescent="0.3">
      <c r="A44" s="323" t="s">
        <v>66</v>
      </c>
      <c r="B44" s="357" t="s">
        <v>286</v>
      </c>
      <c r="C44" s="12" t="s">
        <v>67</v>
      </c>
      <c r="D44" s="97" t="s">
        <v>365</v>
      </c>
      <c r="E44" s="28">
        <f>AVERAGE(0.48,0.44)</f>
        <v>0.45999999999999996</v>
      </c>
      <c r="F44" s="97" t="s">
        <v>365</v>
      </c>
      <c r="G44" s="23">
        <v>9.9999999999999982</v>
      </c>
      <c r="H44" s="35">
        <f>G44/E44/'1-Hypothèses'!B$5</f>
        <v>4.3478260869565215</v>
      </c>
      <c r="I44" s="97" t="s">
        <v>365</v>
      </c>
      <c r="J44" s="23">
        <v>19.999999999999996</v>
      </c>
      <c r="K44" s="35">
        <f>J44/E44/'1-Hypothèses'!B$5</f>
        <v>8.695652173913043</v>
      </c>
      <c r="L44" s="97" t="s">
        <v>365</v>
      </c>
      <c r="M44" s="9"/>
      <c r="N44" s="23">
        <v>20</v>
      </c>
      <c r="O44" s="23">
        <v>10.000000000000004</v>
      </c>
      <c r="P44" s="23">
        <f t="shared" ref="P44:P76" si="10">H44*10*E44</f>
        <v>20</v>
      </c>
      <c r="Q44" s="23">
        <f t="shared" ref="Q44:Q76" si="11">K44*10*E44</f>
        <v>40</v>
      </c>
    </row>
    <row r="45" spans="1:17" ht="67" customHeight="1" x14ac:dyDescent="0.3">
      <c r="A45" s="324"/>
      <c r="B45" s="358"/>
      <c r="C45" s="12" t="s">
        <v>68</v>
      </c>
      <c r="D45" s="9">
        <v>24</v>
      </c>
      <c r="E45" s="28">
        <f>69%</f>
        <v>0.69</v>
      </c>
      <c r="F45" s="23">
        <f>D45*'1-Hypothèses'!B$5*E45</f>
        <v>82.8</v>
      </c>
      <c r="G45" s="23">
        <v>9.9999999999999982</v>
      </c>
      <c r="H45" s="35">
        <f>G45/E45/'1-Hypothèses'!B$5</f>
        <v>2.8985507246376807</v>
      </c>
      <c r="I45" s="28">
        <f t="shared" si="9"/>
        <v>0.12077294685990336</v>
      </c>
      <c r="J45" s="23">
        <v>19.999999999999996</v>
      </c>
      <c r="K45" s="35">
        <f>J45/E45/'1-Hypothèses'!B$5</f>
        <v>5.7971014492753614</v>
      </c>
      <c r="L45" s="28">
        <f t="shared" si="7"/>
        <v>0.24154589371980673</v>
      </c>
      <c r="M45" s="12" t="s">
        <v>344</v>
      </c>
      <c r="N45" s="23">
        <v>20</v>
      </c>
      <c r="O45" s="23">
        <v>10.000000000000004</v>
      </c>
      <c r="P45" s="23">
        <f t="shared" si="10"/>
        <v>19.999999999999993</v>
      </c>
      <c r="Q45" s="23">
        <f t="shared" si="11"/>
        <v>39.999999999999986</v>
      </c>
    </row>
    <row r="46" spans="1:17" ht="67" customHeight="1" x14ac:dyDescent="0.3">
      <c r="A46" s="337" t="s">
        <v>93</v>
      </c>
      <c r="B46" s="342" t="s">
        <v>97</v>
      </c>
      <c r="C46" s="7" t="s">
        <v>56</v>
      </c>
      <c r="D46" s="41">
        <v>11</v>
      </c>
      <c r="E46" s="39">
        <f>'1-Hypothèses'!C12</f>
        <v>0.64</v>
      </c>
      <c r="F46" s="45">
        <f>D46*'1-Hypothèses'!B$5*E46</f>
        <v>35.200000000000003</v>
      </c>
      <c r="G46" s="45">
        <v>66.875</v>
      </c>
      <c r="H46" s="48">
        <f>G46/E46/'1-Hypothèses'!B$5</f>
        <v>20.8984375</v>
      </c>
      <c r="I46" s="39">
        <f t="shared" si="9"/>
        <v>1.8998579545454546</v>
      </c>
      <c r="J46" s="45">
        <v>66.875</v>
      </c>
      <c r="K46" s="48">
        <f>J46/E46/'1-Hypothèses'!B$5</f>
        <v>20.8984375</v>
      </c>
      <c r="L46" s="39">
        <f t="shared" si="7"/>
        <v>1.8998579545454546</v>
      </c>
      <c r="M46" s="7" t="s">
        <v>250</v>
      </c>
      <c r="N46" s="45">
        <v>34.875</v>
      </c>
      <c r="O46" s="45">
        <v>98.125</v>
      </c>
      <c r="P46" s="45">
        <f t="shared" si="10"/>
        <v>133.75</v>
      </c>
      <c r="Q46" s="45">
        <f t="shared" si="11"/>
        <v>133.75</v>
      </c>
    </row>
    <row r="47" spans="1:17" ht="67" customHeight="1" x14ac:dyDescent="0.3">
      <c r="A47" s="338"/>
      <c r="B47" s="343"/>
      <c r="C47" s="7" t="s">
        <v>57</v>
      </c>
      <c r="D47" s="41">
        <v>174</v>
      </c>
      <c r="E47" s="39">
        <v>0.3</v>
      </c>
      <c r="F47" s="45">
        <f>D47*'1-Hypothèses'!B$5*E47</f>
        <v>261</v>
      </c>
      <c r="G47" s="45">
        <v>66.875</v>
      </c>
      <c r="H47" s="48">
        <f>G47/E47/'1-Hypothèses'!B$5</f>
        <v>44.583333333333336</v>
      </c>
      <c r="I47" s="39">
        <f t="shared" si="9"/>
        <v>0.25622605363984674</v>
      </c>
      <c r="J47" s="45">
        <v>66.875</v>
      </c>
      <c r="K47" s="48">
        <f>J47/E47/'1-Hypothèses'!B$5</f>
        <v>44.583333333333336</v>
      </c>
      <c r="L47" s="39">
        <f t="shared" si="7"/>
        <v>0.25622605363984674</v>
      </c>
      <c r="M47" s="7"/>
      <c r="N47" s="45">
        <v>34.875</v>
      </c>
      <c r="O47" s="45">
        <v>98.125</v>
      </c>
      <c r="P47" s="45">
        <f t="shared" si="10"/>
        <v>133.75</v>
      </c>
      <c r="Q47" s="45">
        <f t="shared" si="11"/>
        <v>133.75</v>
      </c>
    </row>
    <row r="48" spans="1:17" ht="67" customHeight="1" x14ac:dyDescent="0.3">
      <c r="A48" s="338"/>
      <c r="B48" s="356"/>
      <c r="C48" s="7" t="s">
        <v>94</v>
      </c>
      <c r="D48" s="41">
        <v>241</v>
      </c>
      <c r="E48" s="39">
        <v>0.34</v>
      </c>
      <c r="F48" s="45">
        <f>D48*'1-Hypothèses'!B$5*E48</f>
        <v>409.70000000000005</v>
      </c>
      <c r="G48" s="45">
        <v>66.875</v>
      </c>
      <c r="H48" s="48">
        <f>G48/E48/'1-Hypothèses'!B$5</f>
        <v>39.338235294117645</v>
      </c>
      <c r="I48" s="39">
        <f t="shared" si="9"/>
        <v>0.16322919209177447</v>
      </c>
      <c r="J48" s="45">
        <v>66.875</v>
      </c>
      <c r="K48" s="48">
        <f>J48/E48/'1-Hypothèses'!B$5</f>
        <v>39.338235294117645</v>
      </c>
      <c r="L48" s="39">
        <f t="shared" si="7"/>
        <v>0.16322919209177447</v>
      </c>
      <c r="M48" s="7"/>
      <c r="N48" s="45">
        <v>34.875</v>
      </c>
      <c r="O48" s="45">
        <v>98.125</v>
      </c>
      <c r="P48" s="45">
        <f t="shared" si="10"/>
        <v>133.75</v>
      </c>
      <c r="Q48" s="45">
        <f t="shared" si="11"/>
        <v>133.75</v>
      </c>
    </row>
    <row r="49" spans="1:17" ht="67" customHeight="1" x14ac:dyDescent="0.3">
      <c r="A49" s="339"/>
      <c r="B49" s="7" t="s">
        <v>193</v>
      </c>
      <c r="C49" s="114" t="s">
        <v>194</v>
      </c>
      <c r="D49" s="41">
        <v>164</v>
      </c>
      <c r="E49" s="39">
        <v>0.56999999999999995</v>
      </c>
      <c r="F49" s="45">
        <f>D49*'1-Hypothèses'!B$5*E49</f>
        <v>467.4</v>
      </c>
      <c r="G49" s="45">
        <v>66.875</v>
      </c>
      <c r="H49" s="48">
        <f>G49/E49/'1-Hypothèses'!B$5</f>
        <v>23.464912280701757</v>
      </c>
      <c r="I49" s="39">
        <f t="shared" si="9"/>
        <v>0.14307873341891314</v>
      </c>
      <c r="J49" s="45">
        <v>66.875</v>
      </c>
      <c r="K49" s="48">
        <f>J49/E49/'1-Hypothèses'!B$5</f>
        <v>23.464912280701757</v>
      </c>
      <c r="L49" s="39">
        <f t="shared" si="7"/>
        <v>0.14307873341891314</v>
      </c>
      <c r="M49" s="7"/>
      <c r="N49" s="45">
        <v>34.875</v>
      </c>
      <c r="O49" s="45">
        <v>98.125</v>
      </c>
      <c r="P49" s="45">
        <f t="shared" si="10"/>
        <v>133.75</v>
      </c>
      <c r="Q49" s="45">
        <f t="shared" si="11"/>
        <v>133.75</v>
      </c>
    </row>
    <row r="50" spans="1:17" ht="99.5" customHeight="1" x14ac:dyDescent="0.3">
      <c r="A50" s="12" t="s">
        <v>69</v>
      </c>
      <c r="B50" s="34" t="s">
        <v>70</v>
      </c>
      <c r="C50" s="29" t="s">
        <v>47</v>
      </c>
      <c r="D50" s="9">
        <v>40</v>
      </c>
      <c r="E50" s="28">
        <f>AVERAGE(0.75,0.64)</f>
        <v>0.69500000000000006</v>
      </c>
      <c r="F50" s="23">
        <f>D50*'1-Hypothèses'!B$5*E50</f>
        <v>139</v>
      </c>
      <c r="G50" s="23">
        <v>15.793209549071614</v>
      </c>
      <c r="H50" s="35">
        <f>G50/E50/'1-Hypothèses'!B$5</f>
        <v>4.5448085033299606</v>
      </c>
      <c r="I50" s="28">
        <f t="shared" si="9"/>
        <v>0.11362021258324902</v>
      </c>
      <c r="J50" s="23">
        <v>38.499087533156498</v>
      </c>
      <c r="K50" s="35">
        <f>J50/E50/'1-Hypothèses'!B$5</f>
        <v>11.078874110260861</v>
      </c>
      <c r="L50" s="28">
        <f t="shared" si="7"/>
        <v>0.27697185275652153</v>
      </c>
      <c r="M50" s="12" t="s">
        <v>291</v>
      </c>
      <c r="N50" s="23">
        <v>36.982915225464204</v>
      </c>
      <c r="O50" s="23">
        <v>105.42767618037134</v>
      </c>
      <c r="P50" s="23">
        <f t="shared" si="10"/>
        <v>31.586419098143228</v>
      </c>
      <c r="Q50" s="23">
        <f t="shared" si="11"/>
        <v>76.998175066312996</v>
      </c>
    </row>
    <row r="51" spans="1:17" ht="44.5" customHeight="1" x14ac:dyDescent="0.3">
      <c r="A51" s="337" t="s">
        <v>77</v>
      </c>
      <c r="B51" s="337" t="s">
        <v>109</v>
      </c>
      <c r="C51" s="7" t="s">
        <v>72</v>
      </c>
      <c r="D51" s="41">
        <v>85</v>
      </c>
      <c r="E51" s="39">
        <f>AVERAGE(0.51,0.54)</f>
        <v>0.52500000000000002</v>
      </c>
      <c r="F51" s="45">
        <f>D51*'1-Hypothèses'!B$5*E51</f>
        <v>223.125</v>
      </c>
      <c r="G51" s="45">
        <v>51.682677103718191</v>
      </c>
      <c r="H51" s="48">
        <f>G51/E51/'1-Hypothèses'!B$5</f>
        <v>19.688638896654549</v>
      </c>
      <c r="I51" s="39">
        <f t="shared" si="9"/>
        <v>0.23163104584299468</v>
      </c>
      <c r="J51" s="45">
        <v>79.460652315720807</v>
      </c>
      <c r="K51" s="48">
        <f>J51/E51/'1-Hypothèses'!B$5</f>
        <v>30.270724691703162</v>
      </c>
      <c r="L51" s="39">
        <f t="shared" si="7"/>
        <v>0.35612617284356662</v>
      </c>
      <c r="M51" s="41"/>
      <c r="N51" s="45">
        <v>60.901283757338533</v>
      </c>
      <c r="O51" s="45">
        <v>177.32361643835614</v>
      </c>
      <c r="P51" s="45">
        <f t="shared" si="10"/>
        <v>103.3653542074364</v>
      </c>
      <c r="Q51" s="45">
        <f t="shared" si="11"/>
        <v>158.92130463144161</v>
      </c>
    </row>
    <row r="52" spans="1:17" ht="44.5" customHeight="1" x14ac:dyDescent="0.3">
      <c r="A52" s="338"/>
      <c r="B52" s="338"/>
      <c r="C52" s="7" t="s">
        <v>73</v>
      </c>
      <c r="D52" s="41">
        <v>39</v>
      </c>
      <c r="E52" s="39">
        <f>AVERAGE(0.77,0.73)</f>
        <v>0.75</v>
      </c>
      <c r="F52" s="45">
        <f>D52*'1-Hypothèses'!B$5*E52</f>
        <v>146.25</v>
      </c>
      <c r="G52" s="45">
        <v>51.682677103718191</v>
      </c>
      <c r="H52" s="48">
        <f>G52/E52/'1-Hypothèses'!B$5</f>
        <v>13.782047227658186</v>
      </c>
      <c r="I52" s="39">
        <f t="shared" si="9"/>
        <v>0.35338582635020988</v>
      </c>
      <c r="J52" s="45">
        <v>79.460652315720807</v>
      </c>
      <c r="K52" s="48">
        <f>J52/E52/'1-Hypothèses'!B$5</f>
        <v>21.189507284192214</v>
      </c>
      <c r="L52" s="39">
        <f t="shared" si="7"/>
        <v>0.54332069959467211</v>
      </c>
      <c r="M52" s="41"/>
      <c r="N52" s="45">
        <v>60.901283757338533</v>
      </c>
      <c r="O52" s="45">
        <v>177.32361643835614</v>
      </c>
      <c r="P52" s="45">
        <f t="shared" si="10"/>
        <v>103.36535420743638</v>
      </c>
      <c r="Q52" s="45">
        <f t="shared" si="11"/>
        <v>158.92130463144161</v>
      </c>
    </row>
    <row r="53" spans="1:17" ht="44.5" customHeight="1" x14ac:dyDescent="0.3">
      <c r="A53" s="338"/>
      <c r="B53" s="338"/>
      <c r="C53" s="7" t="s">
        <v>74</v>
      </c>
      <c r="D53" s="41">
        <v>117</v>
      </c>
      <c r="E53" s="39">
        <f>'1-Hypothèses'!C15</f>
        <v>0.4</v>
      </c>
      <c r="F53" s="45">
        <f>D53*'1-Hypothèses'!B$5*E53</f>
        <v>234</v>
      </c>
      <c r="G53" s="45">
        <v>51.682677103718191</v>
      </c>
      <c r="H53" s="48">
        <f>G53/E53/'1-Hypothèses'!B$5</f>
        <v>25.841338551859092</v>
      </c>
      <c r="I53" s="39">
        <f t="shared" si="9"/>
        <v>0.22086614146888112</v>
      </c>
      <c r="J53" s="45">
        <v>79.460652315720807</v>
      </c>
      <c r="K53" s="48">
        <f>J53/E53/'1-Hypothèses'!B$5</f>
        <v>39.730326157860404</v>
      </c>
      <c r="L53" s="39">
        <f t="shared" si="7"/>
        <v>0.33957543724667011</v>
      </c>
      <c r="M53" s="41"/>
      <c r="N53" s="45">
        <v>60.901283757338533</v>
      </c>
      <c r="O53" s="45">
        <v>177.32361643835614</v>
      </c>
      <c r="P53" s="45">
        <f t="shared" si="10"/>
        <v>103.36535420743638</v>
      </c>
      <c r="Q53" s="45">
        <f t="shared" si="11"/>
        <v>158.92130463144164</v>
      </c>
    </row>
    <row r="54" spans="1:17" ht="44.5" customHeight="1" x14ac:dyDescent="0.3">
      <c r="A54" s="338"/>
      <c r="B54" s="338"/>
      <c r="C54" s="7" t="s">
        <v>75</v>
      </c>
      <c r="D54" s="41">
        <v>78</v>
      </c>
      <c r="E54" s="39">
        <v>0.5</v>
      </c>
      <c r="F54" s="45">
        <f>D54*'1-Hypothèses'!B$5*E54</f>
        <v>195</v>
      </c>
      <c r="G54" s="45">
        <v>51.682677103718191</v>
      </c>
      <c r="H54" s="48">
        <f>G54/E54/'1-Hypothèses'!B$5</f>
        <v>20.673070841487277</v>
      </c>
      <c r="I54" s="39">
        <f t="shared" si="9"/>
        <v>0.26503936976265741</v>
      </c>
      <c r="J54" s="45">
        <v>79.460652315720807</v>
      </c>
      <c r="K54" s="48">
        <f>J54/E54/'1-Hypothèses'!B$5</f>
        <v>31.784260926288322</v>
      </c>
      <c r="L54" s="39">
        <f t="shared" si="7"/>
        <v>0.40749052469600411</v>
      </c>
      <c r="M54" s="41"/>
      <c r="N54" s="45">
        <v>60.901283757338533</v>
      </c>
      <c r="O54" s="45">
        <v>177.32361643835614</v>
      </c>
      <c r="P54" s="45">
        <f t="shared" si="10"/>
        <v>103.36535420743638</v>
      </c>
      <c r="Q54" s="45">
        <f t="shared" si="11"/>
        <v>158.92130463144161</v>
      </c>
    </row>
    <row r="55" spans="1:17" ht="52.5" customHeight="1" x14ac:dyDescent="0.3">
      <c r="A55" s="339"/>
      <c r="B55" s="339"/>
      <c r="C55" s="7" t="s">
        <v>76</v>
      </c>
      <c r="D55" s="41">
        <v>17</v>
      </c>
      <c r="E55" s="39">
        <f>'1-Hypothèses'!C13</f>
        <v>0.6</v>
      </c>
      <c r="F55" s="45">
        <f>D55*'1-Hypothèses'!B$5*E55</f>
        <v>51</v>
      </c>
      <c r="G55" s="45">
        <v>51.682677103718191</v>
      </c>
      <c r="H55" s="48">
        <f>G55/E55/'1-Hypothèses'!B$5</f>
        <v>17.227559034572732</v>
      </c>
      <c r="I55" s="39">
        <f t="shared" si="9"/>
        <v>1.0133858255631019</v>
      </c>
      <c r="J55" s="45">
        <v>79.460652315720807</v>
      </c>
      <c r="K55" s="48">
        <f>J55/E55/'1-Hypothèses'!B$5</f>
        <v>26.486884105240271</v>
      </c>
      <c r="L55" s="39">
        <f t="shared" si="7"/>
        <v>1.5580520061906042</v>
      </c>
      <c r="M55" s="41"/>
      <c r="N55" s="45">
        <v>60.901283757338533</v>
      </c>
      <c r="O55" s="45">
        <v>177.32361643835614</v>
      </c>
      <c r="P55" s="45">
        <f t="shared" si="10"/>
        <v>103.3653542074364</v>
      </c>
      <c r="Q55" s="45">
        <f t="shared" si="11"/>
        <v>158.92130463144164</v>
      </c>
    </row>
    <row r="56" spans="1:17" ht="63.5" customHeight="1" x14ac:dyDescent="0.3">
      <c r="A56" s="323" t="s">
        <v>71</v>
      </c>
      <c r="B56" s="359" t="s">
        <v>78</v>
      </c>
      <c r="C56" s="12" t="s">
        <v>48</v>
      </c>
      <c r="D56" s="9">
        <v>73</v>
      </c>
      <c r="E56" s="28">
        <f>AVERAGE(0.61,0.55)</f>
        <v>0.58000000000000007</v>
      </c>
      <c r="F56" s="23">
        <f>D56*'1-Hypothèses'!B$5*E56</f>
        <v>211.70000000000002</v>
      </c>
      <c r="G56" s="23">
        <v>7.8831780821917796</v>
      </c>
      <c r="H56" s="35">
        <f>G56/E56/'1-Hypothèses'!B$5</f>
        <v>2.7183372697213031</v>
      </c>
      <c r="I56" s="28">
        <f t="shared" si="9"/>
        <v>3.7237496845497299E-2</v>
      </c>
      <c r="J56" s="23">
        <v>15.109424657534248</v>
      </c>
      <c r="K56" s="35">
        <f>J56/E56/'1-Hypothèses'!B$5</f>
        <v>5.2101464336324987</v>
      </c>
      <c r="L56" s="28">
        <f t="shared" si="7"/>
        <v>7.1371868953869849E-2</v>
      </c>
      <c r="M56" s="9"/>
      <c r="N56" s="23">
        <v>3.196372602739725</v>
      </c>
      <c r="O56" s="23">
        <v>18.868197260273966</v>
      </c>
      <c r="P56" s="23">
        <f t="shared" si="10"/>
        <v>15.766356164383559</v>
      </c>
      <c r="Q56" s="23">
        <f t="shared" si="11"/>
        <v>30.218849315068496</v>
      </c>
    </row>
    <row r="57" spans="1:17" ht="63.5" customHeight="1" x14ac:dyDescent="0.3">
      <c r="A57" s="362"/>
      <c r="B57" s="360"/>
      <c r="C57" s="12" t="s">
        <v>47</v>
      </c>
      <c r="D57" s="9">
        <v>40</v>
      </c>
      <c r="E57" s="28">
        <f>AVERAGE(0.75,0.64)</f>
        <v>0.69500000000000006</v>
      </c>
      <c r="F57" s="23">
        <f>D57*'1-Hypothèses'!B$5*E57</f>
        <v>139</v>
      </c>
      <c r="G57" s="23">
        <v>7.8831780821917796</v>
      </c>
      <c r="H57" s="35">
        <f>G57/E57/'1-Hypothèses'!B$5</f>
        <v>2.268540455306987</v>
      </c>
      <c r="I57" s="28">
        <f t="shared" si="9"/>
        <v>5.6713511382674678E-2</v>
      </c>
      <c r="J57" s="23">
        <v>15.109424657534248</v>
      </c>
      <c r="K57" s="35">
        <f>J57/E57/'1-Hypothèses'!B$5</f>
        <v>4.3480358726717254</v>
      </c>
      <c r="L57" s="28">
        <f t="shared" si="7"/>
        <v>0.10870089681679314</v>
      </c>
      <c r="M57" s="9"/>
      <c r="N57" s="23">
        <v>3.196372602739725</v>
      </c>
      <c r="O57" s="23">
        <v>18.868197260273966</v>
      </c>
      <c r="P57" s="23">
        <f t="shared" si="10"/>
        <v>15.766356164383561</v>
      </c>
      <c r="Q57" s="23">
        <f t="shared" si="11"/>
        <v>30.218849315068496</v>
      </c>
    </row>
    <row r="58" spans="1:17" ht="63.5" customHeight="1" x14ac:dyDescent="0.3">
      <c r="A58" s="362"/>
      <c r="B58" s="360"/>
      <c r="C58" s="12" t="s">
        <v>79</v>
      </c>
      <c r="D58" s="9">
        <v>78</v>
      </c>
      <c r="E58" s="28">
        <f>'1-Hypothèses'!C15</f>
        <v>0.4</v>
      </c>
      <c r="F58" s="23">
        <f>D58*'1-Hypothèses'!B$5*E58</f>
        <v>156</v>
      </c>
      <c r="G58" s="23">
        <v>7.8831780821917796</v>
      </c>
      <c r="H58" s="35">
        <f>G58/E58/'1-Hypothèses'!B$5</f>
        <v>3.9415890410958894</v>
      </c>
      <c r="I58" s="28">
        <f t="shared" si="9"/>
        <v>5.0533192834562687E-2</v>
      </c>
      <c r="J58" s="23">
        <v>15.109424657534248</v>
      </c>
      <c r="K58" s="35">
        <f>J58/E58/'1-Hypothèses'!B$5</f>
        <v>7.5547123287671241</v>
      </c>
      <c r="L58" s="28">
        <f t="shared" si="7"/>
        <v>9.6855286266245177E-2</v>
      </c>
      <c r="M58" s="9"/>
      <c r="N58" s="23">
        <v>3.196372602739725</v>
      </c>
      <c r="O58" s="23">
        <v>18.868197260273966</v>
      </c>
      <c r="P58" s="23">
        <f t="shared" si="10"/>
        <v>15.766356164383559</v>
      </c>
      <c r="Q58" s="23">
        <f t="shared" si="11"/>
        <v>30.218849315068496</v>
      </c>
    </row>
    <row r="59" spans="1:17" ht="63.5" customHeight="1" x14ac:dyDescent="0.3">
      <c r="A59" s="324"/>
      <c r="B59" s="361"/>
      <c r="C59" s="12" t="s">
        <v>45</v>
      </c>
      <c r="D59" s="97" t="s">
        <v>365</v>
      </c>
      <c r="E59" s="28">
        <v>0.9</v>
      </c>
      <c r="F59" s="97" t="s">
        <v>365</v>
      </c>
      <c r="G59" s="23">
        <v>7.8831780821917796</v>
      </c>
      <c r="H59" s="35">
        <f>G59/E59/'1-Hypothèses'!B$5</f>
        <v>1.7518173515981732</v>
      </c>
      <c r="I59" s="97" t="s">
        <v>365</v>
      </c>
      <c r="J59" s="23">
        <v>15.109424657534248</v>
      </c>
      <c r="K59" s="35">
        <f>J59/E59/'1-Hypothèses'!B$5</f>
        <v>3.3576499238964992</v>
      </c>
      <c r="L59" s="97" t="s">
        <v>365</v>
      </c>
      <c r="M59" s="12" t="s">
        <v>80</v>
      </c>
      <c r="N59" s="23">
        <v>3.196372602739725</v>
      </c>
      <c r="O59" s="23">
        <v>18.868197260273966</v>
      </c>
      <c r="P59" s="23">
        <f t="shared" si="10"/>
        <v>15.766356164383559</v>
      </c>
      <c r="Q59" s="23">
        <f t="shared" si="11"/>
        <v>30.218849315068493</v>
      </c>
    </row>
    <row r="60" spans="1:17" ht="49" customHeight="1" x14ac:dyDescent="0.3">
      <c r="A60" s="344" t="s">
        <v>42</v>
      </c>
      <c r="B60" s="303" t="s">
        <v>295</v>
      </c>
      <c r="C60" s="7" t="s">
        <v>43</v>
      </c>
      <c r="D60" s="41">
        <v>16</v>
      </c>
      <c r="E60" s="39">
        <f>'1-Hypothèses'!C13</f>
        <v>0.6</v>
      </c>
      <c r="F60" s="45">
        <f>D60*'1-Hypothèses'!B$5*E60</f>
        <v>48</v>
      </c>
      <c r="G60" s="30">
        <v>0</v>
      </c>
      <c r="H60" s="48">
        <f>G60/E60/'1-Hypothèses'!B$5</f>
        <v>0</v>
      </c>
      <c r="I60" s="39">
        <f t="shared" si="9"/>
        <v>0</v>
      </c>
      <c r="J60" s="45">
        <v>30.624999999999996</v>
      </c>
      <c r="K60" s="48">
        <f>J60/E60/'1-Hypothèses'!B$5</f>
        <v>10.208333333333332</v>
      </c>
      <c r="L60" s="39">
        <f t="shared" si="7"/>
        <v>0.63802083333333326</v>
      </c>
      <c r="M60" s="41"/>
      <c r="N60" s="45">
        <v>0</v>
      </c>
      <c r="O60" s="45">
        <v>93.49722222222222</v>
      </c>
      <c r="P60" s="45">
        <f t="shared" si="10"/>
        <v>0</v>
      </c>
      <c r="Q60" s="45">
        <f t="shared" si="11"/>
        <v>61.249999999999986</v>
      </c>
    </row>
    <row r="61" spans="1:17" ht="49" customHeight="1" x14ac:dyDescent="0.3">
      <c r="A61" s="345"/>
      <c r="B61" s="303"/>
      <c r="C61" s="7" t="s">
        <v>44</v>
      </c>
      <c r="D61" s="7" t="s">
        <v>365</v>
      </c>
      <c r="E61" s="39">
        <f>'1-Hypothèses'!C14</f>
        <v>0.9</v>
      </c>
      <c r="F61" s="7" t="s">
        <v>365</v>
      </c>
      <c r="G61" s="30">
        <v>0</v>
      </c>
      <c r="H61" s="48">
        <f>G61/E61/'1-Hypothèses'!B$5</f>
        <v>0</v>
      </c>
      <c r="I61" s="7" t="s">
        <v>365</v>
      </c>
      <c r="J61" s="45">
        <v>30.624999999999996</v>
      </c>
      <c r="K61" s="48">
        <f>J61/E61/'1-Hypothèses'!B$5</f>
        <v>6.8055555555555545</v>
      </c>
      <c r="L61" s="7" t="s">
        <v>365</v>
      </c>
      <c r="M61" s="41"/>
      <c r="N61" s="45">
        <v>0</v>
      </c>
      <c r="O61" s="45">
        <v>93.49722222222222</v>
      </c>
      <c r="P61" s="45">
        <f t="shared" si="10"/>
        <v>0</v>
      </c>
      <c r="Q61" s="45">
        <f t="shared" si="11"/>
        <v>61.249999999999993</v>
      </c>
    </row>
    <row r="62" spans="1:17" ht="49" customHeight="1" x14ac:dyDescent="0.3">
      <c r="A62" s="345"/>
      <c r="B62" s="303"/>
      <c r="C62" s="7" t="s">
        <v>46</v>
      </c>
      <c r="D62" s="43">
        <f>'1-Hypothèses'!C14</f>
        <v>0.9</v>
      </c>
      <c r="E62" s="39">
        <v>0.83</v>
      </c>
      <c r="F62" s="45">
        <f>D62*'1-Hypothèses'!B$5*E62</f>
        <v>3.7349999999999999</v>
      </c>
      <c r="G62" s="30">
        <v>0</v>
      </c>
      <c r="H62" s="48">
        <f>G62/E62/'1-Hypothèses'!B$5</f>
        <v>0</v>
      </c>
      <c r="I62" s="39">
        <f t="shared" si="9"/>
        <v>0</v>
      </c>
      <c r="J62" s="45">
        <v>30.624999999999996</v>
      </c>
      <c r="K62" s="48">
        <f>J62/E62/'1-Hypothèses'!B$5</f>
        <v>7.379518072289156</v>
      </c>
      <c r="L62" s="39">
        <f t="shared" si="7"/>
        <v>8.1994645247657285</v>
      </c>
      <c r="M62" s="41"/>
      <c r="N62" s="45">
        <v>0</v>
      </c>
      <c r="O62" s="45">
        <v>93.49722222222222</v>
      </c>
      <c r="P62" s="45">
        <f t="shared" si="10"/>
        <v>0</v>
      </c>
      <c r="Q62" s="45">
        <f t="shared" si="11"/>
        <v>61.249999999999993</v>
      </c>
    </row>
    <row r="63" spans="1:17" ht="49" customHeight="1" x14ac:dyDescent="0.3">
      <c r="A63" s="345"/>
      <c r="B63" s="303"/>
      <c r="C63" s="7" t="s">
        <v>47</v>
      </c>
      <c r="D63" s="7">
        <v>40</v>
      </c>
      <c r="E63" s="39">
        <f>AVERAGE(0.75,0.64)</f>
        <v>0.69500000000000006</v>
      </c>
      <c r="F63" s="45">
        <f>D63*'1-Hypothèses'!B$5*E63</f>
        <v>139</v>
      </c>
      <c r="G63" s="30">
        <v>0</v>
      </c>
      <c r="H63" s="48">
        <f>G63/E63/'1-Hypothèses'!B$5</f>
        <v>0</v>
      </c>
      <c r="I63" s="39">
        <f t="shared" si="9"/>
        <v>0</v>
      </c>
      <c r="J63" s="45">
        <v>30.624999999999996</v>
      </c>
      <c r="K63" s="48">
        <f>J63/E63/'1-Hypothèses'!B$5</f>
        <v>8.8129496402877674</v>
      </c>
      <c r="L63" s="39">
        <f t="shared" si="7"/>
        <v>0.22032374100719418</v>
      </c>
      <c r="M63" s="41"/>
      <c r="N63" s="45">
        <v>0</v>
      </c>
      <c r="O63" s="45">
        <v>93.49722222222222</v>
      </c>
      <c r="P63" s="45">
        <f t="shared" si="10"/>
        <v>0</v>
      </c>
      <c r="Q63" s="45">
        <f t="shared" si="11"/>
        <v>61.249999999999993</v>
      </c>
    </row>
    <row r="64" spans="1:17" ht="49" customHeight="1" x14ac:dyDescent="0.3">
      <c r="A64" s="346"/>
      <c r="B64" s="303"/>
      <c r="C64" s="7" t="s">
        <v>45</v>
      </c>
      <c r="D64" s="7" t="s">
        <v>50</v>
      </c>
      <c r="E64" s="39">
        <v>0.9</v>
      </c>
      <c r="F64" s="7" t="s">
        <v>365</v>
      </c>
      <c r="G64" s="30">
        <v>0</v>
      </c>
      <c r="H64" s="48">
        <f>G64/E64/'1-Hypothèses'!B$5</f>
        <v>0</v>
      </c>
      <c r="I64" s="7" t="s">
        <v>365</v>
      </c>
      <c r="J64" s="45">
        <v>30.624999999999996</v>
      </c>
      <c r="K64" s="48">
        <f>J64/E64/'1-Hypothèses'!B$5</f>
        <v>6.8055555555555545</v>
      </c>
      <c r="L64" s="7" t="s">
        <v>365</v>
      </c>
      <c r="M64" s="41"/>
      <c r="N64" s="45">
        <v>0</v>
      </c>
      <c r="O64" s="45">
        <v>93.49722222222222</v>
      </c>
      <c r="P64" s="45">
        <f t="shared" si="10"/>
        <v>0</v>
      </c>
      <c r="Q64" s="45">
        <f t="shared" si="11"/>
        <v>61.249999999999993</v>
      </c>
    </row>
    <row r="65" spans="1:17" ht="49" customHeight="1" x14ac:dyDescent="0.3">
      <c r="A65" s="368" t="s">
        <v>81</v>
      </c>
      <c r="B65" s="368" t="s">
        <v>82</v>
      </c>
      <c r="C65" s="12" t="s">
        <v>56</v>
      </c>
      <c r="D65" s="12">
        <v>21</v>
      </c>
      <c r="E65" s="28">
        <f>'1-Hypothèses'!C12</f>
        <v>0.64</v>
      </c>
      <c r="F65" s="23">
        <f>D65*'1-Hypothèses'!B$5*E65</f>
        <v>67.2</v>
      </c>
      <c r="G65" s="21">
        <v>24</v>
      </c>
      <c r="H65" s="35">
        <f>G65/E65/'1-Hypothèses'!B$5</f>
        <v>7.5</v>
      </c>
      <c r="I65" s="28">
        <f t="shared" si="9"/>
        <v>0.35714285714285715</v>
      </c>
      <c r="J65" s="23">
        <v>24</v>
      </c>
      <c r="K65" s="35">
        <f>J65/E65/'1-Hypothèses'!B$5</f>
        <v>7.5</v>
      </c>
      <c r="L65" s="28">
        <f t="shared" si="7"/>
        <v>0.35714285714285715</v>
      </c>
      <c r="M65" s="9"/>
      <c r="N65" s="23">
        <v>6</v>
      </c>
      <c r="O65" s="23">
        <v>6</v>
      </c>
      <c r="P65" s="23">
        <f t="shared" si="10"/>
        <v>48</v>
      </c>
      <c r="Q65" s="23">
        <f t="shared" si="11"/>
        <v>48</v>
      </c>
    </row>
    <row r="66" spans="1:17" ht="49" customHeight="1" x14ac:dyDescent="0.3">
      <c r="A66" s="368"/>
      <c r="B66" s="368"/>
      <c r="C66" s="12" t="s">
        <v>57</v>
      </c>
      <c r="D66" s="12">
        <v>174</v>
      </c>
      <c r="E66" s="28">
        <v>0.3</v>
      </c>
      <c r="F66" s="23">
        <f>D66*'1-Hypothèses'!B$5*E66</f>
        <v>261</v>
      </c>
      <c r="G66" s="21">
        <v>24</v>
      </c>
      <c r="H66" s="35">
        <f>G66/E66/'1-Hypothèses'!B$5</f>
        <v>16</v>
      </c>
      <c r="I66" s="28">
        <f>H66/D66</f>
        <v>9.1954022988505746E-2</v>
      </c>
      <c r="J66" s="23">
        <v>24</v>
      </c>
      <c r="K66" s="35">
        <f>J66/E66/'1-Hypothèses'!B$5</f>
        <v>16</v>
      </c>
      <c r="L66" s="28">
        <f t="shared" si="7"/>
        <v>9.1954022988505746E-2</v>
      </c>
      <c r="M66" s="9"/>
      <c r="N66" s="23">
        <v>6</v>
      </c>
      <c r="O66" s="23">
        <v>6</v>
      </c>
      <c r="P66" s="23">
        <f t="shared" si="10"/>
        <v>48</v>
      </c>
      <c r="Q66" s="23">
        <f t="shared" si="11"/>
        <v>48</v>
      </c>
    </row>
    <row r="67" spans="1:17" ht="49" customHeight="1" x14ac:dyDescent="0.3">
      <c r="A67" s="368"/>
      <c r="B67" s="368"/>
      <c r="C67" s="12" t="s">
        <v>83</v>
      </c>
      <c r="D67" s="97" t="s">
        <v>365</v>
      </c>
      <c r="E67" s="28">
        <f>'1-Hypothèses'!C13</f>
        <v>0.6</v>
      </c>
      <c r="F67" s="97" t="s">
        <v>365</v>
      </c>
      <c r="G67" s="21">
        <v>24</v>
      </c>
      <c r="H67" s="35">
        <f>G67/E67/'1-Hypothèses'!B$5</f>
        <v>8</v>
      </c>
      <c r="I67" s="97" t="s">
        <v>365</v>
      </c>
      <c r="J67" s="23">
        <v>24</v>
      </c>
      <c r="K67" s="35">
        <f>J67/E67/'1-Hypothèses'!B$5</f>
        <v>8</v>
      </c>
      <c r="L67" s="97" t="s">
        <v>365</v>
      </c>
      <c r="M67" s="9"/>
      <c r="N67" s="23">
        <v>6</v>
      </c>
      <c r="O67" s="23">
        <v>6</v>
      </c>
      <c r="P67" s="23">
        <f t="shared" si="10"/>
        <v>48</v>
      </c>
      <c r="Q67" s="23">
        <f t="shared" si="11"/>
        <v>48</v>
      </c>
    </row>
    <row r="68" spans="1:17" ht="39.5" customHeight="1" x14ac:dyDescent="0.3">
      <c r="A68" s="337" t="s">
        <v>204</v>
      </c>
      <c r="B68" s="342" t="s">
        <v>205</v>
      </c>
      <c r="C68" s="138" t="s">
        <v>206</v>
      </c>
      <c r="D68" s="7">
        <v>60</v>
      </c>
      <c r="E68" s="39">
        <f>'1-Hypothèses'!C14</f>
        <v>0.9</v>
      </c>
      <c r="F68" s="7">
        <f>D68*E68*'1-Hypothèses'!B5</f>
        <v>270</v>
      </c>
      <c r="G68" s="30">
        <f>'1-Hypothèses'!B$25*(G$24+G$30+G$40+G$42+G$44+G$50+G$51+G$56+G$65+G37+G60)</f>
        <v>12.430453236749081</v>
      </c>
      <c r="H68" s="48">
        <f>G68/E68/'1-Hypothèses'!B$5</f>
        <v>2.7623229414997956</v>
      </c>
      <c r="I68" s="44">
        <f>H68/D68</f>
        <v>4.6038715691663262E-2</v>
      </c>
      <c r="J68" s="45">
        <f>'1-Hypothèses'!B$24*(J$24+J$30+J$40+J$42+J$44+J$50+J$51+J$56++J$65+J60+J37)</f>
        <v>17.347208225320582</v>
      </c>
      <c r="K68" s="48">
        <f>J68/E68/'1-Hypothèses'!B$5</f>
        <v>3.8549351611823517</v>
      </c>
      <c r="L68" s="44">
        <f>K68/D68</f>
        <v>6.4248919353039197E-2</v>
      </c>
      <c r="M68" s="7" t="s">
        <v>210</v>
      </c>
      <c r="N68" s="45">
        <f>('1-Hypothèses'!B$25*(N$24+N$30+N$40+N$42+N$44+N$50+N$51+N$56+N$65+N37+N60))</f>
        <v>9.316528579277124</v>
      </c>
      <c r="O68" s="45">
        <f>('1-Hypothèses'!B$25*(O$24+O$30+O$40+O$42+O$44+O$50+O$51+O$56+O$65+O37+O60))</f>
        <v>27.493335605061187</v>
      </c>
      <c r="P68" s="45">
        <f t="shared" si="10"/>
        <v>24.860906473498162</v>
      </c>
      <c r="Q68" s="45">
        <f t="shared" si="11"/>
        <v>34.694416450641164</v>
      </c>
    </row>
    <row r="69" spans="1:17" ht="39.5" customHeight="1" x14ac:dyDescent="0.3">
      <c r="A69" s="338"/>
      <c r="B69" s="343"/>
      <c r="C69" s="7" t="s">
        <v>207</v>
      </c>
      <c r="D69" s="7">
        <v>50</v>
      </c>
      <c r="E69" s="39">
        <f>'1-Hypothèses'!C14</f>
        <v>0.9</v>
      </c>
      <c r="F69" s="45">
        <f>D69*'1-Hypothèses'!B$5*E69</f>
        <v>225</v>
      </c>
      <c r="G69" s="30">
        <f>'1-Hypothèses'!B$25*(G$24+G$30+G$40+G$42+G$44+G$50+G$51+G$56+G$65+G38+G61)</f>
        <v>12.430453236749081</v>
      </c>
      <c r="H69" s="48">
        <f>G69/E69/'1-Hypothèses'!B$5</f>
        <v>2.7623229414997956</v>
      </c>
      <c r="I69" s="39">
        <f>H69/D69</f>
        <v>5.5246458829995911E-2</v>
      </c>
      <c r="J69" s="45">
        <f>'1-Hypothèses'!B$24*(J$24+J$30+J$40+J$42+J$44+J$50+J$51+J$56++J$65+J61+J38)</f>
        <v>17.347208225320582</v>
      </c>
      <c r="K69" s="48">
        <f>J69/E69/'1-Hypothèses'!B$5</f>
        <v>3.8549351611823517</v>
      </c>
      <c r="L69" s="39">
        <f t="shared" si="7"/>
        <v>7.7098703223647036E-2</v>
      </c>
      <c r="M69" s="41"/>
      <c r="N69" s="45">
        <f>('1-Hypothèses'!B$25*(N$24+N$30+N$40+N$42+N$44+N$50+N$51+N$56+N$65+N38+N61))</f>
        <v>9.316528579277124</v>
      </c>
      <c r="O69" s="45">
        <f>('1-Hypothèses'!B$25*(O$24+O$30+O$40+O$42+O$44+O$50+O$51+O$56+O$65+O38+O61))</f>
        <v>27.493335605061187</v>
      </c>
      <c r="P69" s="45">
        <f t="shared" si="10"/>
        <v>24.860906473498162</v>
      </c>
      <c r="Q69" s="45">
        <f t="shared" si="11"/>
        <v>34.694416450641164</v>
      </c>
    </row>
    <row r="70" spans="1:17" ht="39.5" customHeight="1" x14ac:dyDescent="0.3">
      <c r="A70" s="338"/>
      <c r="B70" s="343"/>
      <c r="C70" s="7" t="s">
        <v>208</v>
      </c>
      <c r="D70" s="7" t="s">
        <v>365</v>
      </c>
      <c r="E70" s="39">
        <f>'1-Hypothèses'!C14</f>
        <v>0.9</v>
      </c>
      <c r="F70" s="7" t="s">
        <v>365</v>
      </c>
      <c r="G70" s="30">
        <f>'1-Hypothèses'!B$25*(G$24+G$30+G$40+G$42+G$44+G$50+G$51+G$56+G$65+G39+G62)</f>
        <v>12.430453236749081</v>
      </c>
      <c r="H70" s="48">
        <f>G70/E70/'1-Hypothèses'!B$5</f>
        <v>2.7623229414997956</v>
      </c>
      <c r="I70" s="7" t="s">
        <v>365</v>
      </c>
      <c r="J70" s="45">
        <f>'1-Hypothèses'!B$24*(J$24+J$30+J$40+J$42+J$44+J$50+J$51+J$56++J$65+J62+J39)</f>
        <v>17.347208225320582</v>
      </c>
      <c r="K70" s="48">
        <f>J70/E70/'1-Hypothèses'!B$5</f>
        <v>3.8549351611823517</v>
      </c>
      <c r="L70" s="7" t="s">
        <v>365</v>
      </c>
      <c r="M70" s="41"/>
      <c r="N70" s="45">
        <f>('1-Hypothèses'!B$25*(N$24+N$30+N$40+N$42+N$44+N$50+N$51+N$56+N$65+N39+N62))</f>
        <v>9.316528579277124</v>
      </c>
      <c r="O70" s="45">
        <f>('1-Hypothèses'!B$25*(O$24+O$30+O$40+O$42+O$44+O$50+O$51+O$56+O$65+O39+O62))</f>
        <v>27.493335605061187</v>
      </c>
      <c r="P70" s="45">
        <f t="shared" si="10"/>
        <v>24.860906473498162</v>
      </c>
      <c r="Q70" s="45">
        <f t="shared" si="11"/>
        <v>34.694416450641164</v>
      </c>
    </row>
    <row r="71" spans="1:17" ht="39.5" customHeight="1" x14ac:dyDescent="0.3">
      <c r="A71" s="338"/>
      <c r="B71" s="343"/>
      <c r="C71" s="37" t="s">
        <v>209</v>
      </c>
      <c r="D71" s="37">
        <v>101</v>
      </c>
      <c r="E71" s="95">
        <v>0.74</v>
      </c>
      <c r="F71" s="117">
        <f>D71*'1-Hypothèses'!B$5*E71</f>
        <v>373.7</v>
      </c>
      <c r="G71" s="119">
        <f>'1-Hypothèses'!B$25*(G$24+G$30+G$40+G$42+G$44+G$50+G$51+G$56+G$65+G40+G63)</f>
        <v>12.91795323674908</v>
      </c>
      <c r="H71" s="96">
        <f>G71/E71/'1-Hypothèses'!B$5</f>
        <v>3.4913387126348865</v>
      </c>
      <c r="I71" s="95">
        <f t="shared" si="9"/>
        <v>3.4567710026087987E-2</v>
      </c>
      <c r="J71" s="117">
        <f>'1-Hypothèses'!B$24*(J$24+J$30+J$40+J$42+J$44+J$50+J$51+J$56++J$65+J63+J40)</f>
        <v>17.834708225320579</v>
      </c>
      <c r="K71" s="96">
        <f>J71/E71/'1-Hypothèses'!B$5</f>
        <v>4.8201914122488052</v>
      </c>
      <c r="L71" s="95">
        <f t="shared" si="7"/>
        <v>4.7724667448007969E-2</v>
      </c>
      <c r="M71" s="175"/>
      <c r="N71" s="45">
        <f>('1-Hypothèses'!B$25*(N$24+N$30+N$40+N$42+N$44+N$50+N$51+N$56+N$65+N40+N63))</f>
        <v>9.8040285792771229</v>
      </c>
      <c r="O71" s="45">
        <f>('1-Hypothèses'!B$25*(O$24+O$30+O$40+O$42+O$44+O$50+O$51+O$56+O$65+O40+O63))</f>
        <v>27.005835605061186</v>
      </c>
      <c r="P71" s="45">
        <f t="shared" si="10"/>
        <v>25.835906473498159</v>
      </c>
      <c r="Q71" s="45">
        <f t="shared" si="11"/>
        <v>35.669416450641158</v>
      </c>
    </row>
    <row r="72" spans="1:17" ht="38.5" customHeight="1" x14ac:dyDescent="0.3">
      <c r="A72" s="363" t="s">
        <v>304</v>
      </c>
      <c r="B72" s="363" t="s">
        <v>159</v>
      </c>
      <c r="C72" s="100" t="s">
        <v>298</v>
      </c>
      <c r="D72" s="97">
        <v>12</v>
      </c>
      <c r="E72" s="77">
        <f>'1-Hypothèses'!C14</f>
        <v>0.9</v>
      </c>
      <c r="F72" s="97">
        <f>D72*E72*'1-Hypothèses'!B5</f>
        <v>54</v>
      </c>
      <c r="G72" s="79">
        <f>'1-Hypothèses'!B$22*('Annexe - Volume'!G$24+'Annexe - Volume'!G$30+'Annexe - Volume'!G$37+'Annexe - Volume'!G$40+'Annexe - Volume'!G$42+'Annexe - Volume'!G$50+'Annexe - Volume'!G$51+'Annexe - Volume'!G$56+'Annexe - Volume'!G$60+'Annexe - Volume'!G$65)</f>
        <v>23.860906473498162</v>
      </c>
      <c r="H72" s="110">
        <f>G72/E72/'1-Hypothèses'!B$5</f>
        <v>5.3024236607773689</v>
      </c>
      <c r="I72" s="280">
        <f>H72/D72</f>
        <v>0.44186863839811408</v>
      </c>
      <c r="J72" s="78">
        <f>'1-Hypothèses'!B$22*('Annexe - Volume'!J$24+'Annexe - Volume'!J$30+'Annexe - Volume'!J$37+'Annexe - Volume'!J$40+'Annexe - Volume'!J$42+'Annexe - Volume'!J$50+'Annexe - Volume'!J$51+'Annexe - Volume'!J$56+'Annexe - Volume'!J$60+'Annexe - Volume'!J$65)</f>
        <v>32.694416450641164</v>
      </c>
      <c r="K72" s="110">
        <f>J72/E72/'1-Hypothèses'!B$5</f>
        <v>7.2654258779202578</v>
      </c>
      <c r="L72" s="280">
        <f>K72/D72</f>
        <v>0.60545215649335482</v>
      </c>
      <c r="M72" s="76"/>
      <c r="N72" s="78">
        <f>'1-Hypothèses'!B$22*('Annexe - Volume'!N$24+'Annexe - Volume'!N$30+'Annexe - Volume'!N$37+'Annexe - Volume'!N$40+'Annexe - Volume'!N$42+'Annexe - Volume'!N$50+'Annexe - Volume'!N$51+'Annexe - Volume'!N$56+'Annexe - Volume'!N$60+'Annexe - Volume'!N$65)</f>
        <v>16.633057158554248</v>
      </c>
      <c r="O72" s="78">
        <f>'1-Hypothèses'!B$22*('Annexe - Volume'!O$24+'Annexe - Volume'!O$30+'Annexe - Volume'!O$37+'Annexe - Volume'!O$40+'Annexe - Volume'!O$42+'Annexe - Volume'!O$50+'Annexe - Volume'!O$51+'Annexe - Volume'!O$56+'Annexe - Volume'!O$60+'Annexe - Volume'!O$65)</f>
        <v>53.986671210122374</v>
      </c>
      <c r="P72" s="78">
        <f t="shared" si="10"/>
        <v>47.721812946996323</v>
      </c>
      <c r="Q72" s="78">
        <f t="shared" si="11"/>
        <v>65.388832901282328</v>
      </c>
    </row>
    <row r="73" spans="1:17" ht="38.5" customHeight="1" x14ac:dyDescent="0.3">
      <c r="A73" s="363"/>
      <c r="B73" s="363"/>
      <c r="C73" s="100" t="s">
        <v>299</v>
      </c>
      <c r="D73" s="97" t="s">
        <v>365</v>
      </c>
      <c r="E73" s="77">
        <f>'1-Hypothèses'!C14</f>
        <v>0.9</v>
      </c>
      <c r="F73" s="97" t="s">
        <v>365</v>
      </c>
      <c r="G73" s="79">
        <f>'1-Hypothèses'!B$22*('Annexe - Volume'!G$24+'Annexe - Volume'!G$30+'Annexe - Volume'!G$37+'Annexe - Volume'!G$40+'Annexe - Volume'!G$42+'Annexe - Volume'!G$50+'Annexe - Volume'!G$51+'Annexe - Volume'!G$56+'Annexe - Volume'!G$60+'Annexe - Volume'!G$65)</f>
        <v>23.860906473498162</v>
      </c>
      <c r="H73" s="110">
        <f>G73/E73/'1-Hypothèses'!B$5</f>
        <v>5.3024236607773689</v>
      </c>
      <c r="I73" s="97" t="s">
        <v>365</v>
      </c>
      <c r="J73" s="78">
        <f>'1-Hypothèses'!B$22*('Annexe - Volume'!J$24+'Annexe - Volume'!J$30+'Annexe - Volume'!J$37+'Annexe - Volume'!J$40+'Annexe - Volume'!J$42+'Annexe - Volume'!J$50+'Annexe - Volume'!J$51+'Annexe - Volume'!J$56+'Annexe - Volume'!J$60+'Annexe - Volume'!J$65)</f>
        <v>32.694416450641164</v>
      </c>
      <c r="K73" s="110">
        <f>J73/E73/'1-Hypothèses'!B$5</f>
        <v>7.2654258779202578</v>
      </c>
      <c r="L73" s="97" t="s">
        <v>365</v>
      </c>
      <c r="M73" s="76"/>
      <c r="N73" s="78">
        <f>'1-Hypothèses'!B$22*('Annexe - Volume'!N$24+'Annexe - Volume'!N$30+'Annexe - Volume'!N$37+'Annexe - Volume'!N$40+'Annexe - Volume'!N$42+'Annexe - Volume'!N$50+'Annexe - Volume'!N$51+'Annexe - Volume'!N$56+'Annexe - Volume'!N$60+'Annexe - Volume'!N$65)</f>
        <v>16.633057158554248</v>
      </c>
      <c r="O73" s="78">
        <f>'1-Hypothèses'!B$22*('Annexe - Volume'!O$24+'Annexe - Volume'!O$30+'Annexe - Volume'!O$37+'Annexe - Volume'!O$40+'Annexe - Volume'!O$42+'Annexe - Volume'!O$50+'Annexe - Volume'!O$51+'Annexe - Volume'!O$56+'Annexe - Volume'!O$60+'Annexe - Volume'!O$65)</f>
        <v>53.986671210122374</v>
      </c>
      <c r="P73" s="78">
        <f t="shared" si="10"/>
        <v>47.721812946996323</v>
      </c>
      <c r="Q73" s="78">
        <f t="shared" si="11"/>
        <v>65.388832901282328</v>
      </c>
    </row>
    <row r="74" spans="1:17" ht="38.5" customHeight="1" x14ac:dyDescent="0.3">
      <c r="A74" s="363"/>
      <c r="B74" s="363"/>
      <c r="C74" s="100" t="s">
        <v>300</v>
      </c>
      <c r="D74" s="97" t="s">
        <v>365</v>
      </c>
      <c r="E74" s="77">
        <f>'1-Hypothèses'!C14</f>
        <v>0.9</v>
      </c>
      <c r="F74" s="97" t="s">
        <v>365</v>
      </c>
      <c r="G74" s="79">
        <f>'1-Hypothèses'!B$22*('Annexe - Volume'!G$24+'Annexe - Volume'!G$30+'Annexe - Volume'!G$37+'Annexe - Volume'!G$40+'Annexe - Volume'!G$42+'Annexe - Volume'!G$50+'Annexe - Volume'!G$51+'Annexe - Volume'!G$56+'Annexe - Volume'!G$60+'Annexe - Volume'!G$65)</f>
        <v>23.860906473498162</v>
      </c>
      <c r="H74" s="110">
        <f>G74/E74/'1-Hypothèses'!B$5</f>
        <v>5.3024236607773689</v>
      </c>
      <c r="I74" s="97" t="s">
        <v>365</v>
      </c>
      <c r="J74" s="78">
        <f>'1-Hypothèses'!B$22*('Annexe - Volume'!J$24+'Annexe - Volume'!J$30+'Annexe - Volume'!J$37+'Annexe - Volume'!J$40+'Annexe - Volume'!J$42+'Annexe - Volume'!J$50+'Annexe - Volume'!J$51+'Annexe - Volume'!J$56+'Annexe - Volume'!J$60+'Annexe - Volume'!J$65)</f>
        <v>32.694416450641164</v>
      </c>
      <c r="K74" s="110">
        <f>J74/E74/'1-Hypothèses'!B$5</f>
        <v>7.2654258779202578</v>
      </c>
      <c r="L74" s="97" t="s">
        <v>365</v>
      </c>
      <c r="M74" s="76"/>
      <c r="N74" s="78">
        <f>'1-Hypothèses'!B$22*('Annexe - Volume'!N$24+'Annexe - Volume'!N$30+'Annexe - Volume'!N$37+'Annexe - Volume'!N$40+'Annexe - Volume'!N$42+'Annexe - Volume'!N$50+'Annexe - Volume'!N$51+'Annexe - Volume'!N$56+'Annexe - Volume'!N$60+'Annexe - Volume'!N$65)</f>
        <v>16.633057158554248</v>
      </c>
      <c r="O74" s="78">
        <f>'1-Hypothèses'!B$22*('Annexe - Volume'!O$24+'Annexe - Volume'!O$30+'Annexe - Volume'!O$37+'Annexe - Volume'!O$40+'Annexe - Volume'!O$42+'Annexe - Volume'!O$50+'Annexe - Volume'!O$51+'Annexe - Volume'!O$56+'Annexe - Volume'!O$60+'Annexe - Volume'!O$65)</f>
        <v>53.986671210122374</v>
      </c>
      <c r="P74" s="78">
        <f t="shared" si="10"/>
        <v>47.721812946996323</v>
      </c>
      <c r="Q74" s="78">
        <f t="shared" si="11"/>
        <v>65.388832901282328</v>
      </c>
    </row>
    <row r="75" spans="1:17" ht="38.5" customHeight="1" x14ac:dyDescent="0.3">
      <c r="A75" s="363"/>
      <c r="B75" s="363"/>
      <c r="C75" s="100" t="s">
        <v>301</v>
      </c>
      <c r="D75" s="97" t="s">
        <v>365</v>
      </c>
      <c r="E75" s="97" t="s">
        <v>365</v>
      </c>
      <c r="F75" s="97" t="s">
        <v>365</v>
      </c>
      <c r="G75" s="79"/>
      <c r="H75" s="110"/>
      <c r="I75" s="107"/>
      <c r="J75" s="78"/>
      <c r="K75" s="110"/>
      <c r="L75" s="107"/>
      <c r="M75" s="76" t="s">
        <v>439</v>
      </c>
      <c r="N75" s="78">
        <f>'1-Hypothèses'!B$22*('Annexe - Volume'!N$24+'Annexe - Volume'!N$30+'Annexe - Volume'!N$37+'Annexe - Volume'!N$40+'Annexe - Volume'!N$42+'Annexe - Volume'!N$50+'Annexe - Volume'!N$51+'Annexe - Volume'!N$56+'Annexe - Volume'!N$60+'Annexe - Volume'!N$65)</f>
        <v>16.633057158554248</v>
      </c>
      <c r="O75" s="78">
        <f>'1-Hypothèses'!B$22*('Annexe - Volume'!O$24+'Annexe - Volume'!O$30+'Annexe - Volume'!O$37+'Annexe - Volume'!O$40+'Annexe - Volume'!O$42+'Annexe - Volume'!O$50+'Annexe - Volume'!O$51+'Annexe - Volume'!O$56+'Annexe - Volume'!O$60+'Annexe - Volume'!O$65)</f>
        <v>53.986671210122374</v>
      </c>
      <c r="P75" s="78" t="e">
        <f t="shared" si="10"/>
        <v>#VALUE!</v>
      </c>
      <c r="Q75" s="78" t="e">
        <f t="shared" si="11"/>
        <v>#VALUE!</v>
      </c>
    </row>
    <row r="76" spans="1:17" ht="38.5" customHeight="1" x14ac:dyDescent="0.3">
      <c r="A76" s="332"/>
      <c r="B76" s="332"/>
      <c r="C76" s="220" t="s">
        <v>302</v>
      </c>
      <c r="D76" s="97" t="s">
        <v>365</v>
      </c>
      <c r="E76" s="97" t="s">
        <v>365</v>
      </c>
      <c r="F76" s="97" t="s">
        <v>365</v>
      </c>
      <c r="G76" s="109"/>
      <c r="H76" s="110"/>
      <c r="I76" s="107"/>
      <c r="J76" s="111"/>
      <c r="K76" s="110"/>
      <c r="L76" s="107"/>
      <c r="M76" s="112"/>
      <c r="N76" s="78">
        <f>'1-Hypothèses'!B$22*('Annexe - Volume'!N$24+'Annexe - Volume'!N$30+'Annexe - Volume'!N$37+'Annexe - Volume'!N$40+'Annexe - Volume'!N$42+'Annexe - Volume'!N$50+'Annexe - Volume'!N$51+'Annexe - Volume'!N$56+'Annexe - Volume'!N$60+'Annexe - Volume'!N$65)</f>
        <v>16.633057158554248</v>
      </c>
      <c r="O76" s="78">
        <f>'1-Hypothèses'!B$22*('Annexe - Volume'!O$24+'Annexe - Volume'!O$30+'Annexe - Volume'!O$37+'Annexe - Volume'!O$40+'Annexe - Volume'!O$42+'Annexe - Volume'!O$50+'Annexe - Volume'!O$51+'Annexe - Volume'!O$56+'Annexe - Volume'!O$60+'Annexe - Volume'!O$65)</f>
        <v>53.986671210122374</v>
      </c>
      <c r="P76" s="78" t="e">
        <f t="shared" si="10"/>
        <v>#VALUE!</v>
      </c>
      <c r="Q76" s="78" t="e">
        <f t="shared" si="11"/>
        <v>#VALUE!</v>
      </c>
    </row>
    <row r="77" spans="1:17" ht="23.5" customHeight="1" x14ac:dyDescent="0.3">
      <c r="A77" s="367" t="s">
        <v>114</v>
      </c>
      <c r="B77" s="367"/>
      <c r="C77" s="367"/>
      <c r="D77" s="367"/>
      <c r="E77" s="367"/>
      <c r="F77" s="367"/>
      <c r="G77" s="367"/>
      <c r="H77" s="367"/>
      <c r="I77" s="367"/>
      <c r="J77" s="367"/>
      <c r="K77" s="367"/>
      <c r="L77" s="367"/>
      <c r="M77" s="367"/>
      <c r="N77" s="367"/>
      <c r="O77" s="367"/>
      <c r="P77" s="367"/>
      <c r="Q77" s="367"/>
    </row>
    <row r="78" spans="1:17" ht="62" customHeight="1" x14ac:dyDescent="0.3">
      <c r="A78" s="364" t="s">
        <v>133</v>
      </c>
      <c r="B78" s="334" t="s">
        <v>151</v>
      </c>
      <c r="C78" s="29" t="s">
        <v>117</v>
      </c>
      <c r="D78" s="29">
        <f>25*3</f>
        <v>75</v>
      </c>
      <c r="E78" s="221">
        <f>'1-Hypothèses'!$C$16</f>
        <v>0.95</v>
      </c>
      <c r="F78" s="222">
        <f>D78*E78*'1-Hypothèses'!B$5</f>
        <v>356.25</v>
      </c>
      <c r="G78" s="223">
        <v>96</v>
      </c>
      <c r="H78" s="224">
        <f>G78/E78/'1-Hypothèses'!$B$5</f>
        <v>20.210526315789473</v>
      </c>
      <c r="I78" s="221">
        <f>H78/D78</f>
        <v>0.26947368421052631</v>
      </c>
      <c r="J78" s="222">
        <v>96</v>
      </c>
      <c r="K78" s="224">
        <f>J78/E78/'1-Hypothèses'!$B$5</f>
        <v>20.210526315789473</v>
      </c>
      <c r="L78" s="221">
        <f>K78/D78</f>
        <v>0.26947368421052631</v>
      </c>
      <c r="M78" s="225"/>
      <c r="N78" s="222">
        <v>0</v>
      </c>
      <c r="O78" s="222">
        <v>0</v>
      </c>
      <c r="P78" s="23">
        <f>H78*10*E78</f>
        <v>192</v>
      </c>
      <c r="Q78" s="23">
        <f>K78*10*E78</f>
        <v>192</v>
      </c>
    </row>
    <row r="79" spans="1:17" ht="49" customHeight="1" x14ac:dyDescent="0.3">
      <c r="A79" s="365"/>
      <c r="B79" s="363"/>
      <c r="C79" s="12" t="s">
        <v>118</v>
      </c>
      <c r="D79" s="12">
        <v>24</v>
      </c>
      <c r="E79" s="28">
        <f>'1-Hypothèses'!$C$16</f>
        <v>0.95</v>
      </c>
      <c r="F79" s="23">
        <f>D79*E79*'1-Hypothèses'!B$5</f>
        <v>113.99999999999999</v>
      </c>
      <c r="G79" s="21">
        <v>96</v>
      </c>
      <c r="H79" s="35">
        <f>G79/E79/'1-Hypothèses'!$B$5</f>
        <v>20.210526315789473</v>
      </c>
      <c r="I79" s="28">
        <f t="shared" ref="I79:I107" si="12">H79/D79</f>
        <v>0.84210526315789469</v>
      </c>
      <c r="J79" s="23">
        <v>96</v>
      </c>
      <c r="K79" s="35">
        <f>J79/E79/'1-Hypothèses'!$B$5</f>
        <v>20.210526315789473</v>
      </c>
      <c r="L79" s="28">
        <f t="shared" ref="L79:L107" si="13">K79/D79</f>
        <v>0.84210526315789469</v>
      </c>
      <c r="M79" s="9"/>
      <c r="N79" s="23">
        <v>0</v>
      </c>
      <c r="O79" s="23">
        <v>0</v>
      </c>
      <c r="P79" s="23">
        <f t="shared" ref="P79:P124" si="14">H79*10*E79</f>
        <v>192</v>
      </c>
      <c r="Q79" s="23">
        <f t="shared" ref="Q79:Q124" si="15">K79*10*E79</f>
        <v>192</v>
      </c>
    </row>
    <row r="80" spans="1:17" ht="49" customHeight="1" x14ac:dyDescent="0.3">
      <c r="A80" s="365"/>
      <c r="B80" s="363"/>
      <c r="C80" s="99" t="s">
        <v>134</v>
      </c>
      <c r="D80" s="12">
        <f>'1-Hypothèses'!B16</f>
        <v>25</v>
      </c>
      <c r="E80" s="28">
        <f>'1-Hypothèses'!$C$16</f>
        <v>0.95</v>
      </c>
      <c r="F80" s="23">
        <f>D80*E80*'1-Hypothèses'!B$5</f>
        <v>118.75</v>
      </c>
      <c r="G80" s="21">
        <v>96</v>
      </c>
      <c r="H80" s="35">
        <f>G80/E80/'1-Hypothèses'!$B$5</f>
        <v>20.210526315789473</v>
      </c>
      <c r="I80" s="28">
        <f t="shared" si="12"/>
        <v>0.80842105263157893</v>
      </c>
      <c r="J80" s="23">
        <v>96</v>
      </c>
      <c r="K80" s="35">
        <f>J80/E80/'1-Hypothèses'!$B$5</f>
        <v>20.210526315789473</v>
      </c>
      <c r="L80" s="28">
        <f t="shared" si="13"/>
        <v>0.80842105263157893</v>
      </c>
      <c r="M80" s="9"/>
      <c r="N80" s="23">
        <v>0</v>
      </c>
      <c r="O80" s="23">
        <v>0</v>
      </c>
      <c r="P80" s="23">
        <f t="shared" si="14"/>
        <v>192</v>
      </c>
      <c r="Q80" s="23">
        <f t="shared" si="15"/>
        <v>192</v>
      </c>
    </row>
    <row r="81" spans="1:17" ht="49" customHeight="1" x14ac:dyDescent="0.3">
      <c r="A81" s="365"/>
      <c r="B81" s="363"/>
      <c r="C81" s="99" t="s">
        <v>119</v>
      </c>
      <c r="D81" s="12">
        <v>24</v>
      </c>
      <c r="E81" s="28">
        <f>'1-Hypothèses'!$C$16</f>
        <v>0.95</v>
      </c>
      <c r="F81" s="23">
        <f>D81*E81*'1-Hypothèses'!B$5</f>
        <v>113.99999999999999</v>
      </c>
      <c r="G81" s="21">
        <v>96</v>
      </c>
      <c r="H81" s="35">
        <f>G81/E81/'1-Hypothèses'!$B$5</f>
        <v>20.210526315789473</v>
      </c>
      <c r="I81" s="28">
        <f t="shared" si="12"/>
        <v>0.84210526315789469</v>
      </c>
      <c r="J81" s="23">
        <v>96</v>
      </c>
      <c r="K81" s="35">
        <f>J81/E81/'1-Hypothèses'!$B$5</f>
        <v>20.210526315789473</v>
      </c>
      <c r="L81" s="28">
        <f t="shared" si="13"/>
        <v>0.84210526315789469</v>
      </c>
      <c r="M81" s="9"/>
      <c r="N81" s="23">
        <v>0</v>
      </c>
      <c r="O81" s="23">
        <v>0</v>
      </c>
      <c r="P81" s="23">
        <f t="shared" si="14"/>
        <v>192</v>
      </c>
      <c r="Q81" s="23">
        <f t="shared" si="15"/>
        <v>192</v>
      </c>
    </row>
    <row r="82" spans="1:17" ht="49" customHeight="1" x14ac:dyDescent="0.3">
      <c r="A82" s="365"/>
      <c r="B82" s="363"/>
      <c r="C82" s="99" t="s">
        <v>127</v>
      </c>
      <c r="D82" s="12">
        <f>'1-Hypothèses'!B16</f>
        <v>25</v>
      </c>
      <c r="E82" s="28">
        <f>'1-Hypothèses'!$C$16</f>
        <v>0.95</v>
      </c>
      <c r="F82" s="23">
        <f>D82*E82*'1-Hypothèses'!B$5</f>
        <v>118.75</v>
      </c>
      <c r="G82" s="21">
        <v>96</v>
      </c>
      <c r="H82" s="35">
        <f>G82/E82/'1-Hypothèses'!$B$5</f>
        <v>20.210526315789473</v>
      </c>
      <c r="I82" s="28">
        <f t="shared" si="12"/>
        <v>0.80842105263157893</v>
      </c>
      <c r="J82" s="23">
        <v>96</v>
      </c>
      <c r="K82" s="35">
        <f>J82/E82/'1-Hypothèses'!$B$5</f>
        <v>20.210526315789473</v>
      </c>
      <c r="L82" s="28">
        <f t="shared" si="13"/>
        <v>0.80842105263157893</v>
      </c>
      <c r="M82" s="9"/>
      <c r="N82" s="23">
        <v>0</v>
      </c>
      <c r="O82" s="23">
        <v>0</v>
      </c>
      <c r="P82" s="23">
        <f t="shared" si="14"/>
        <v>192</v>
      </c>
      <c r="Q82" s="23">
        <f t="shared" si="15"/>
        <v>192</v>
      </c>
    </row>
    <row r="83" spans="1:17" ht="49" customHeight="1" x14ac:dyDescent="0.3">
      <c r="A83" s="365"/>
      <c r="B83" s="363"/>
      <c r="C83" s="99" t="s">
        <v>131</v>
      </c>
      <c r="D83" s="12">
        <f>'1-Hypothèses'!B16</f>
        <v>25</v>
      </c>
      <c r="E83" s="28">
        <f>'1-Hypothèses'!$C$16</f>
        <v>0.95</v>
      </c>
      <c r="F83" s="23">
        <f>D83*E83*'1-Hypothèses'!B$5</f>
        <v>118.75</v>
      </c>
      <c r="G83" s="21">
        <v>96</v>
      </c>
      <c r="H83" s="35">
        <f>G83/E83/'1-Hypothèses'!$B$5</f>
        <v>20.210526315789473</v>
      </c>
      <c r="I83" s="28">
        <f t="shared" si="12"/>
        <v>0.80842105263157893</v>
      </c>
      <c r="J83" s="23">
        <v>96</v>
      </c>
      <c r="K83" s="35">
        <f>J83/E83/'1-Hypothèses'!$B$5</f>
        <v>20.210526315789473</v>
      </c>
      <c r="L83" s="28">
        <f t="shared" si="13"/>
        <v>0.80842105263157893</v>
      </c>
      <c r="M83" s="9"/>
      <c r="N83" s="23">
        <v>0</v>
      </c>
      <c r="O83" s="23">
        <v>0</v>
      </c>
      <c r="P83" s="23">
        <f t="shared" si="14"/>
        <v>192</v>
      </c>
      <c r="Q83" s="23">
        <f t="shared" si="15"/>
        <v>192</v>
      </c>
    </row>
    <row r="84" spans="1:17" ht="49" customHeight="1" x14ac:dyDescent="0.3">
      <c r="A84" s="354" t="s">
        <v>135</v>
      </c>
      <c r="B84" s="303" t="s">
        <v>141</v>
      </c>
      <c r="C84" s="7" t="s">
        <v>137</v>
      </c>
      <c r="D84" s="7">
        <v>60</v>
      </c>
      <c r="E84" s="39">
        <f>'1-Hypothèses'!$C$16</f>
        <v>0.95</v>
      </c>
      <c r="F84" s="45">
        <f>D84*E84*'1-Hypothèses'!B$5</f>
        <v>285</v>
      </c>
      <c r="G84" s="30">
        <v>27</v>
      </c>
      <c r="H84" s="48">
        <f>G84/E84/'1-Hypothèses'!$B$5</f>
        <v>5.6842105263157894</v>
      </c>
      <c r="I84" s="39">
        <f t="shared" si="12"/>
        <v>9.4736842105263161E-2</v>
      </c>
      <c r="J84" s="45">
        <v>27</v>
      </c>
      <c r="K84" s="48">
        <f>J84/E84/'1-Hypothèses'!$B$5</f>
        <v>5.6842105263157894</v>
      </c>
      <c r="L84" s="39">
        <f t="shared" si="13"/>
        <v>9.4736842105263161E-2</v>
      </c>
      <c r="M84" s="7" t="s">
        <v>442</v>
      </c>
      <c r="N84" s="41">
        <v>27</v>
      </c>
      <c r="O84" s="41">
        <v>81</v>
      </c>
      <c r="P84" s="45">
        <f t="shared" si="14"/>
        <v>53.999999999999993</v>
      </c>
      <c r="Q84" s="45">
        <f t="shared" si="15"/>
        <v>53.999999999999993</v>
      </c>
    </row>
    <row r="85" spans="1:17" ht="49" customHeight="1" x14ac:dyDescent="0.3">
      <c r="A85" s="355"/>
      <c r="B85" s="303"/>
      <c r="C85" s="7" t="s">
        <v>128</v>
      </c>
      <c r="D85" s="7">
        <f>'1-Hypothèses'!B16</f>
        <v>25</v>
      </c>
      <c r="E85" s="39">
        <f>'1-Hypothèses'!$C$16</f>
        <v>0.95</v>
      </c>
      <c r="F85" s="45">
        <f>D85*E85*'1-Hypothèses'!B$5</f>
        <v>118.75</v>
      </c>
      <c r="G85" s="30">
        <v>27</v>
      </c>
      <c r="H85" s="48">
        <f>G85/E85/'1-Hypothèses'!$B$5</f>
        <v>5.6842105263157894</v>
      </c>
      <c r="I85" s="39">
        <f t="shared" si="12"/>
        <v>0.22736842105263158</v>
      </c>
      <c r="J85" s="45">
        <v>27</v>
      </c>
      <c r="K85" s="48">
        <f>J85/E85/'1-Hypothèses'!$B$5</f>
        <v>5.6842105263157894</v>
      </c>
      <c r="L85" s="39">
        <f t="shared" si="13"/>
        <v>0.22736842105263158</v>
      </c>
      <c r="M85" s="7" t="s">
        <v>144</v>
      </c>
      <c r="N85" s="41">
        <v>27</v>
      </c>
      <c r="O85" s="41">
        <v>81</v>
      </c>
      <c r="P85" s="45">
        <f t="shared" si="14"/>
        <v>53.999999999999993</v>
      </c>
      <c r="Q85" s="45">
        <f t="shared" si="15"/>
        <v>53.999999999999993</v>
      </c>
    </row>
    <row r="86" spans="1:17" ht="49" customHeight="1" x14ac:dyDescent="0.3">
      <c r="A86" s="355"/>
      <c r="B86" s="303"/>
      <c r="C86" s="7" t="s">
        <v>139</v>
      </c>
      <c r="D86" s="7">
        <f>28+28</f>
        <v>56</v>
      </c>
      <c r="E86" s="39">
        <f>'1-Hypothèses'!$C$16</f>
        <v>0.95</v>
      </c>
      <c r="F86" s="45">
        <f>D86*E86*'1-Hypothèses'!B$5</f>
        <v>266</v>
      </c>
      <c r="G86" s="30">
        <v>27</v>
      </c>
      <c r="H86" s="48">
        <f>G86/E86/'1-Hypothèses'!$B$5</f>
        <v>5.6842105263157894</v>
      </c>
      <c r="I86" s="39">
        <f t="shared" si="12"/>
        <v>0.10150375939849623</v>
      </c>
      <c r="J86" s="45">
        <v>27</v>
      </c>
      <c r="K86" s="48">
        <f>J86/E86/'1-Hypothèses'!$B$5</f>
        <v>5.6842105263157894</v>
      </c>
      <c r="L86" s="39">
        <f t="shared" si="13"/>
        <v>0.10150375939849623</v>
      </c>
      <c r="M86" s="7" t="s">
        <v>144</v>
      </c>
      <c r="N86" s="41">
        <v>27</v>
      </c>
      <c r="O86" s="41">
        <v>81</v>
      </c>
      <c r="P86" s="45">
        <f t="shared" si="14"/>
        <v>53.999999999999993</v>
      </c>
      <c r="Q86" s="45">
        <f t="shared" si="15"/>
        <v>53.999999999999993</v>
      </c>
    </row>
    <row r="87" spans="1:17" ht="49" customHeight="1" x14ac:dyDescent="0.3">
      <c r="A87" s="355"/>
      <c r="B87" s="303"/>
      <c r="C87" s="7" t="s">
        <v>140</v>
      </c>
      <c r="D87" s="7">
        <v>230</v>
      </c>
      <c r="E87" s="39">
        <f>'1-Hypothèses'!$C$16</f>
        <v>0.95</v>
      </c>
      <c r="F87" s="45">
        <f>D87*E87*'1-Hypothèses'!B$5</f>
        <v>1092.5</v>
      </c>
      <c r="G87" s="30">
        <v>27</v>
      </c>
      <c r="H87" s="48">
        <f>G87/E87/'1-Hypothèses'!$B$5</f>
        <v>5.6842105263157894</v>
      </c>
      <c r="I87" s="39">
        <f t="shared" si="12"/>
        <v>2.4713958810068649E-2</v>
      </c>
      <c r="J87" s="45">
        <v>27</v>
      </c>
      <c r="K87" s="48">
        <f>J87/E87/'1-Hypothèses'!$B$5</f>
        <v>5.6842105263157894</v>
      </c>
      <c r="L87" s="39">
        <f t="shared" si="13"/>
        <v>2.4713958810068649E-2</v>
      </c>
      <c r="M87" s="7" t="s">
        <v>144</v>
      </c>
      <c r="N87" s="41">
        <v>27</v>
      </c>
      <c r="O87" s="41">
        <v>81</v>
      </c>
      <c r="P87" s="45">
        <f t="shared" si="14"/>
        <v>53.999999999999993</v>
      </c>
      <c r="Q87" s="45">
        <f t="shared" si="15"/>
        <v>53.999999999999993</v>
      </c>
    </row>
    <row r="88" spans="1:17" ht="49" customHeight="1" x14ac:dyDescent="0.3">
      <c r="A88" s="355"/>
      <c r="B88" s="303" t="s">
        <v>142</v>
      </c>
      <c r="C88" s="7" t="s">
        <v>127</v>
      </c>
      <c r="D88" s="7">
        <f>'1-Hypothèses'!B16</f>
        <v>25</v>
      </c>
      <c r="E88" s="39">
        <f>'1-Hypothèses'!$C$16</f>
        <v>0.95</v>
      </c>
      <c r="F88" s="45">
        <f>D88*E88*'1-Hypothèses'!B$5</f>
        <v>118.75</v>
      </c>
      <c r="G88" s="30">
        <v>27</v>
      </c>
      <c r="H88" s="48">
        <f>G88/E88/'1-Hypothèses'!$B$5</f>
        <v>5.6842105263157894</v>
      </c>
      <c r="I88" s="39">
        <f t="shared" si="12"/>
        <v>0.22736842105263158</v>
      </c>
      <c r="J88" s="45">
        <v>27</v>
      </c>
      <c r="K88" s="48">
        <f>J88/E88/'1-Hypothèses'!$B$5</f>
        <v>5.6842105263157894</v>
      </c>
      <c r="L88" s="39">
        <f t="shared" si="13"/>
        <v>0.22736842105263158</v>
      </c>
      <c r="M88" s="7" t="s">
        <v>144</v>
      </c>
      <c r="N88" s="41">
        <v>27</v>
      </c>
      <c r="O88" s="41">
        <v>81</v>
      </c>
      <c r="P88" s="45">
        <f t="shared" si="14"/>
        <v>53.999999999999993</v>
      </c>
      <c r="Q88" s="45">
        <f t="shared" si="15"/>
        <v>53.999999999999993</v>
      </c>
    </row>
    <row r="89" spans="1:17" ht="49" customHeight="1" x14ac:dyDescent="0.3">
      <c r="A89" s="366"/>
      <c r="B89" s="303"/>
      <c r="C89" s="7" t="s">
        <v>143</v>
      </c>
      <c r="D89" s="7">
        <f>'1-Hypothèses'!B16</f>
        <v>25</v>
      </c>
      <c r="E89" s="39">
        <f>'1-Hypothèses'!$C$16</f>
        <v>0.95</v>
      </c>
      <c r="F89" s="45">
        <f>D89*E89*'1-Hypothèses'!B$5</f>
        <v>118.75</v>
      </c>
      <c r="G89" s="30">
        <v>27</v>
      </c>
      <c r="H89" s="48">
        <f>G89/E89/'1-Hypothèses'!$B$5</f>
        <v>5.6842105263157894</v>
      </c>
      <c r="I89" s="39">
        <f t="shared" si="12"/>
        <v>0.22736842105263158</v>
      </c>
      <c r="J89" s="45">
        <v>27</v>
      </c>
      <c r="K89" s="48">
        <f>J89/E89/'1-Hypothèses'!$B$5</f>
        <v>5.6842105263157894</v>
      </c>
      <c r="L89" s="39">
        <f t="shared" si="13"/>
        <v>0.22736842105263158</v>
      </c>
      <c r="M89" s="7" t="s">
        <v>144</v>
      </c>
      <c r="N89" s="41">
        <v>27</v>
      </c>
      <c r="O89" s="41">
        <v>81</v>
      </c>
      <c r="P89" s="45">
        <f t="shared" si="14"/>
        <v>53.999999999999993</v>
      </c>
      <c r="Q89" s="45">
        <f t="shared" si="15"/>
        <v>53.999999999999993</v>
      </c>
    </row>
    <row r="90" spans="1:17" ht="49" customHeight="1" x14ac:dyDescent="0.3">
      <c r="A90" s="370" t="s">
        <v>145</v>
      </c>
      <c r="B90" s="368" t="s">
        <v>146</v>
      </c>
      <c r="C90" s="100" t="s">
        <v>148</v>
      </c>
      <c r="D90" s="75">
        <v>12</v>
      </c>
      <c r="E90" s="77">
        <f>'1-Hypothèses'!$C$16</f>
        <v>0.95</v>
      </c>
      <c r="F90" s="78">
        <f>D90*E90*'1-Hypothèses'!B$5</f>
        <v>56.999999999999993</v>
      </c>
      <c r="G90" s="21">
        <v>19.5</v>
      </c>
      <c r="H90" s="101">
        <f>G90/E90/'1-Hypothèses'!$B$5</f>
        <v>4.1052631578947372</v>
      </c>
      <c r="I90" s="77">
        <f t="shared" si="12"/>
        <v>0.34210526315789475</v>
      </c>
      <c r="J90" s="78">
        <v>19.5</v>
      </c>
      <c r="K90" s="101">
        <f>J90/E90/'1-Hypothèses'!$B$5</f>
        <v>4.1052631578947372</v>
      </c>
      <c r="L90" s="77">
        <f t="shared" si="13"/>
        <v>0.34210526315789475</v>
      </c>
      <c r="M90" s="93"/>
      <c r="N90" s="23">
        <v>19.5</v>
      </c>
      <c r="O90" s="23">
        <v>19.5</v>
      </c>
      <c r="P90" s="23">
        <f t="shared" si="14"/>
        <v>39</v>
      </c>
      <c r="Q90" s="23">
        <f t="shared" si="15"/>
        <v>39</v>
      </c>
    </row>
    <row r="91" spans="1:17" ht="49" customHeight="1" x14ac:dyDescent="0.3">
      <c r="A91" s="370"/>
      <c r="B91" s="368"/>
      <c r="C91" s="100" t="s">
        <v>149</v>
      </c>
      <c r="D91" s="75">
        <v>25</v>
      </c>
      <c r="E91" s="77">
        <f>'1-Hypothèses'!$C$16</f>
        <v>0.95</v>
      </c>
      <c r="F91" s="78">
        <f>D91*E91*'1-Hypothèses'!B$5</f>
        <v>118.75</v>
      </c>
      <c r="G91" s="21">
        <v>19.5</v>
      </c>
      <c r="H91" s="101">
        <f>G91/E91/'1-Hypothèses'!$B$5</f>
        <v>4.1052631578947372</v>
      </c>
      <c r="I91" s="77">
        <f t="shared" si="12"/>
        <v>0.16421052631578947</v>
      </c>
      <c r="J91" s="78">
        <v>19.5</v>
      </c>
      <c r="K91" s="101">
        <f>J91/E91/'1-Hypothèses'!$B$5</f>
        <v>4.1052631578947372</v>
      </c>
      <c r="L91" s="77">
        <f t="shared" si="13"/>
        <v>0.16421052631578947</v>
      </c>
      <c r="M91" s="76"/>
      <c r="N91" s="23">
        <v>19.5</v>
      </c>
      <c r="O91" s="23">
        <v>19.5</v>
      </c>
      <c r="P91" s="23">
        <f t="shared" si="14"/>
        <v>39</v>
      </c>
      <c r="Q91" s="23">
        <f t="shared" si="15"/>
        <v>39</v>
      </c>
    </row>
    <row r="92" spans="1:17" ht="49" customHeight="1" x14ac:dyDescent="0.3">
      <c r="A92" s="370"/>
      <c r="B92" s="368"/>
      <c r="C92" s="75" t="s">
        <v>117</v>
      </c>
      <c r="D92" s="75">
        <f>3*25</f>
        <v>75</v>
      </c>
      <c r="E92" s="77">
        <f>'1-Hypothèses'!$C$16</f>
        <v>0.95</v>
      </c>
      <c r="F92" s="78">
        <f>D92*E92*'1-Hypothèses'!B$5</f>
        <v>356.25</v>
      </c>
      <c r="G92" s="21">
        <v>19.5</v>
      </c>
      <c r="H92" s="101">
        <f>G92/E92/'1-Hypothèses'!$B$5</f>
        <v>4.1052631578947372</v>
      </c>
      <c r="I92" s="77">
        <f t="shared" si="12"/>
        <v>5.473684210526316E-2</v>
      </c>
      <c r="J92" s="78">
        <v>19.5</v>
      </c>
      <c r="K92" s="101">
        <f>J92/E92/'1-Hypothèses'!$B$5</f>
        <v>4.1052631578947372</v>
      </c>
      <c r="L92" s="77">
        <f t="shared" si="13"/>
        <v>5.473684210526316E-2</v>
      </c>
      <c r="M92" s="76"/>
      <c r="N92" s="23">
        <v>19.5</v>
      </c>
      <c r="O92" s="23">
        <v>19.5</v>
      </c>
      <c r="P92" s="23">
        <f t="shared" si="14"/>
        <v>39</v>
      </c>
      <c r="Q92" s="23">
        <f t="shared" si="15"/>
        <v>39</v>
      </c>
    </row>
    <row r="93" spans="1:17" ht="49" customHeight="1" x14ac:dyDescent="0.35">
      <c r="A93" s="370"/>
      <c r="B93" s="368"/>
      <c r="C93" s="102" t="s">
        <v>116</v>
      </c>
      <c r="D93" s="75">
        <v>25</v>
      </c>
      <c r="E93" s="77">
        <f>'1-Hypothèses'!$C$16</f>
        <v>0.95</v>
      </c>
      <c r="F93" s="78">
        <f>D93*E93*'1-Hypothèses'!B$5</f>
        <v>118.75</v>
      </c>
      <c r="G93" s="21">
        <v>19.5</v>
      </c>
      <c r="H93" s="101">
        <f>G93/E93/'1-Hypothèses'!$B$5</f>
        <v>4.1052631578947372</v>
      </c>
      <c r="I93" s="77">
        <f t="shared" si="12"/>
        <v>0.16421052631578947</v>
      </c>
      <c r="J93" s="78">
        <v>19.5</v>
      </c>
      <c r="K93" s="101">
        <f>J93/E93/'1-Hypothèses'!$B$5</f>
        <v>4.1052631578947372</v>
      </c>
      <c r="L93" s="77">
        <f t="shared" si="13"/>
        <v>0.16421052631578947</v>
      </c>
      <c r="M93" s="76"/>
      <c r="N93" s="23">
        <v>19.5</v>
      </c>
      <c r="O93" s="23">
        <v>19.5</v>
      </c>
      <c r="P93" s="23">
        <f t="shared" si="14"/>
        <v>39</v>
      </c>
      <c r="Q93" s="23">
        <f t="shared" si="15"/>
        <v>39</v>
      </c>
    </row>
    <row r="94" spans="1:17" ht="49" customHeight="1" x14ac:dyDescent="0.35">
      <c r="A94" s="370"/>
      <c r="B94" s="368"/>
      <c r="C94" s="102" t="s">
        <v>150</v>
      </c>
      <c r="D94" s="75">
        <v>34</v>
      </c>
      <c r="E94" s="77">
        <f>'1-Hypothèses'!$C$16</f>
        <v>0.95</v>
      </c>
      <c r="F94" s="78">
        <f>D94*E94*'1-Hypothèses'!B$5</f>
        <v>161.5</v>
      </c>
      <c r="G94" s="21">
        <v>19.5</v>
      </c>
      <c r="H94" s="101">
        <f>G94/E94/'1-Hypothèses'!$B$5</f>
        <v>4.1052631578947372</v>
      </c>
      <c r="I94" s="77">
        <f t="shared" si="12"/>
        <v>0.12074303405572756</v>
      </c>
      <c r="J94" s="78">
        <v>19.5</v>
      </c>
      <c r="K94" s="101">
        <f>J94/E94/'1-Hypothèses'!$B$5</f>
        <v>4.1052631578947372</v>
      </c>
      <c r="L94" s="77">
        <f t="shared" si="13"/>
        <v>0.12074303405572756</v>
      </c>
      <c r="M94" s="76"/>
      <c r="N94" s="23">
        <v>19.5</v>
      </c>
      <c r="O94" s="23">
        <v>19.5</v>
      </c>
      <c r="P94" s="23">
        <f t="shared" si="14"/>
        <v>39</v>
      </c>
      <c r="Q94" s="23">
        <f t="shared" si="15"/>
        <v>39</v>
      </c>
    </row>
    <row r="95" spans="1:17" ht="49" customHeight="1" x14ac:dyDescent="0.3">
      <c r="A95" s="370"/>
      <c r="B95" s="368"/>
      <c r="C95" s="100" t="s">
        <v>119</v>
      </c>
      <c r="D95" s="75">
        <v>24</v>
      </c>
      <c r="E95" s="77">
        <f>'1-Hypothèses'!$C$16</f>
        <v>0.95</v>
      </c>
      <c r="F95" s="78">
        <f>D95*E95*'1-Hypothèses'!B$5</f>
        <v>113.99999999999999</v>
      </c>
      <c r="G95" s="21">
        <v>19.5</v>
      </c>
      <c r="H95" s="101">
        <f>G95/E95/'1-Hypothèses'!$B$5</f>
        <v>4.1052631578947372</v>
      </c>
      <c r="I95" s="77">
        <f t="shared" si="12"/>
        <v>0.17105263157894737</v>
      </c>
      <c r="J95" s="78">
        <v>19.5</v>
      </c>
      <c r="K95" s="101">
        <f>J95/E95/'1-Hypothèses'!$B$5</f>
        <v>4.1052631578947372</v>
      </c>
      <c r="L95" s="77">
        <f t="shared" si="13"/>
        <v>0.17105263157894737</v>
      </c>
      <c r="M95" s="76"/>
      <c r="N95" s="23">
        <v>19.5</v>
      </c>
      <c r="O95" s="23">
        <v>19.5</v>
      </c>
      <c r="P95" s="23">
        <f t="shared" si="14"/>
        <v>39</v>
      </c>
      <c r="Q95" s="23">
        <f t="shared" si="15"/>
        <v>39</v>
      </c>
    </row>
    <row r="96" spans="1:17" ht="69" customHeight="1" x14ac:dyDescent="0.3">
      <c r="A96" s="352" t="s">
        <v>161</v>
      </c>
      <c r="B96" s="337" t="s">
        <v>189</v>
      </c>
      <c r="C96" s="7" t="s">
        <v>124</v>
      </c>
      <c r="D96" s="38">
        <f>'1-Hypothèses'!B16</f>
        <v>25</v>
      </c>
      <c r="E96" s="39">
        <f>'1-Hypothèses'!$C$16</f>
        <v>0.95</v>
      </c>
      <c r="F96" s="45">
        <f>D96*E96*'1-Hypothèses'!B$5</f>
        <v>118.75</v>
      </c>
      <c r="G96" s="30">
        <v>56.666666666666657</v>
      </c>
      <c r="H96" s="48">
        <f>G96/E96/'1-Hypothèses'!$B$5</f>
        <v>11.929824561403507</v>
      </c>
      <c r="I96" s="39">
        <f t="shared" si="12"/>
        <v>0.47719298245614028</v>
      </c>
      <c r="J96" s="45">
        <v>113.33333333333331</v>
      </c>
      <c r="K96" s="48">
        <f>J96/E96/'1-Hypothèses'!$B$5</f>
        <v>23.859649122807014</v>
      </c>
      <c r="L96" s="39">
        <f t="shared" si="13"/>
        <v>0.95438596491228056</v>
      </c>
      <c r="M96" s="113"/>
      <c r="N96" s="45">
        <v>113.33333333333334</v>
      </c>
      <c r="O96" s="45">
        <v>56.666666666666686</v>
      </c>
      <c r="P96" s="45">
        <f t="shared" si="14"/>
        <v>113.33333333333331</v>
      </c>
      <c r="Q96" s="45">
        <f t="shared" si="15"/>
        <v>226.66666666666663</v>
      </c>
    </row>
    <row r="97" spans="1:17" ht="49" customHeight="1" x14ac:dyDescent="0.3">
      <c r="A97" s="353"/>
      <c r="B97" s="338"/>
      <c r="C97" s="114" t="s">
        <v>116</v>
      </c>
      <c r="D97" s="7">
        <f>'1-Hypothèses'!B16</f>
        <v>25</v>
      </c>
      <c r="E97" s="39">
        <f>'1-Hypothèses'!$C$16</f>
        <v>0.95</v>
      </c>
      <c r="F97" s="45">
        <f>D97*E97*'1-Hypothèses'!B$5</f>
        <v>118.75</v>
      </c>
      <c r="G97" s="30">
        <v>56.666666666666657</v>
      </c>
      <c r="H97" s="48">
        <f>G97/E97/'1-Hypothèses'!$B$5</f>
        <v>11.929824561403507</v>
      </c>
      <c r="I97" s="39">
        <f t="shared" si="12"/>
        <v>0.47719298245614028</v>
      </c>
      <c r="J97" s="45">
        <v>113.33333333333331</v>
      </c>
      <c r="K97" s="48">
        <f>J97/E97/'1-Hypothèses'!$B$5</f>
        <v>23.859649122807014</v>
      </c>
      <c r="L97" s="39">
        <f t="shared" si="13"/>
        <v>0.95438596491228056</v>
      </c>
      <c r="M97" s="41"/>
      <c r="N97" s="45">
        <v>113.33333333333334</v>
      </c>
      <c r="O97" s="45">
        <v>56.666666666666686</v>
      </c>
      <c r="P97" s="45">
        <f t="shared" si="14"/>
        <v>113.33333333333331</v>
      </c>
      <c r="Q97" s="45">
        <f t="shared" si="15"/>
        <v>226.66666666666663</v>
      </c>
    </row>
    <row r="98" spans="1:17" ht="49" customHeight="1" x14ac:dyDescent="0.3">
      <c r="A98" s="353"/>
      <c r="B98" s="338"/>
      <c r="C98" s="114" t="s">
        <v>158</v>
      </c>
      <c r="D98" s="7">
        <f>3*'1-Hypothèses'!B16</f>
        <v>75</v>
      </c>
      <c r="E98" s="39">
        <f>'1-Hypothèses'!$C$16</f>
        <v>0.95</v>
      </c>
      <c r="F98" s="45">
        <f>D98*E98*'1-Hypothèses'!B$5</f>
        <v>356.25</v>
      </c>
      <c r="G98" s="30">
        <v>56.666666666666657</v>
      </c>
      <c r="H98" s="48">
        <f>G98/E98/'1-Hypothèses'!$B$5</f>
        <v>11.929824561403507</v>
      </c>
      <c r="I98" s="39">
        <f t="shared" si="12"/>
        <v>0.1590643274853801</v>
      </c>
      <c r="J98" s="45">
        <v>113.33333333333331</v>
      </c>
      <c r="K98" s="48">
        <f>J98/E98/'1-Hypothèses'!$B$5</f>
        <v>23.859649122807014</v>
      </c>
      <c r="L98" s="39">
        <f t="shared" si="13"/>
        <v>0.31812865497076021</v>
      </c>
      <c r="M98" s="41"/>
      <c r="N98" s="45">
        <v>113.33333333333334</v>
      </c>
      <c r="O98" s="45">
        <v>56.666666666666686</v>
      </c>
      <c r="P98" s="45">
        <f t="shared" si="14"/>
        <v>113.33333333333331</v>
      </c>
      <c r="Q98" s="45">
        <f t="shared" si="15"/>
        <v>226.66666666666663</v>
      </c>
    </row>
    <row r="99" spans="1:17" ht="49" customHeight="1" x14ac:dyDescent="0.3">
      <c r="A99" s="353"/>
      <c r="B99" s="338"/>
      <c r="C99" s="114" t="s">
        <v>149</v>
      </c>
      <c r="D99" s="7">
        <f>'1-Hypothèses'!B16</f>
        <v>25</v>
      </c>
      <c r="E99" s="39">
        <f>'1-Hypothèses'!$C$16</f>
        <v>0.95</v>
      </c>
      <c r="F99" s="45">
        <f>D99*E99*'1-Hypothèses'!B$5</f>
        <v>118.75</v>
      </c>
      <c r="G99" s="30">
        <v>56.666666666666657</v>
      </c>
      <c r="H99" s="48">
        <f>G99/E99/'1-Hypothèses'!$B$5</f>
        <v>11.929824561403507</v>
      </c>
      <c r="I99" s="39">
        <f t="shared" si="12"/>
        <v>0.47719298245614028</v>
      </c>
      <c r="J99" s="45">
        <v>113.33333333333331</v>
      </c>
      <c r="K99" s="48">
        <f>J99/E99/'1-Hypothèses'!$B$5</f>
        <v>23.859649122807014</v>
      </c>
      <c r="L99" s="39">
        <f t="shared" si="13"/>
        <v>0.95438596491228056</v>
      </c>
      <c r="M99" s="41"/>
      <c r="N99" s="45">
        <v>113.33333333333334</v>
      </c>
      <c r="O99" s="45">
        <v>56.666666666666686</v>
      </c>
      <c r="P99" s="45">
        <f t="shared" si="14"/>
        <v>113.33333333333331</v>
      </c>
      <c r="Q99" s="45">
        <f t="shared" si="15"/>
        <v>226.66666666666663</v>
      </c>
    </row>
    <row r="100" spans="1:17" ht="49" customHeight="1" x14ac:dyDescent="0.3">
      <c r="A100" s="353"/>
      <c r="B100" s="338"/>
      <c r="C100" s="114" t="s">
        <v>119</v>
      </c>
      <c r="D100" s="7">
        <v>24</v>
      </c>
      <c r="E100" s="39">
        <f>'1-Hypothèses'!$C$16</f>
        <v>0.95</v>
      </c>
      <c r="F100" s="45">
        <f>D100*E100*'1-Hypothèses'!B$5</f>
        <v>113.99999999999999</v>
      </c>
      <c r="G100" s="30">
        <v>56.666666666666657</v>
      </c>
      <c r="H100" s="48">
        <f>G100/E100/'1-Hypothèses'!$B$5</f>
        <v>11.929824561403507</v>
      </c>
      <c r="I100" s="39">
        <f t="shared" si="12"/>
        <v>0.49707602339181278</v>
      </c>
      <c r="J100" s="45">
        <v>113.33333333333331</v>
      </c>
      <c r="K100" s="48">
        <f>J100/E100/'1-Hypothèses'!$B$5</f>
        <v>23.859649122807014</v>
      </c>
      <c r="L100" s="39">
        <f t="shared" si="13"/>
        <v>0.99415204678362556</v>
      </c>
      <c r="M100" s="41"/>
      <c r="N100" s="45">
        <v>113.33333333333334</v>
      </c>
      <c r="O100" s="45">
        <v>56.666666666666686</v>
      </c>
      <c r="P100" s="45">
        <f t="shared" si="14"/>
        <v>113.33333333333331</v>
      </c>
      <c r="Q100" s="45">
        <f t="shared" si="15"/>
        <v>226.66666666666663</v>
      </c>
    </row>
    <row r="101" spans="1:17" ht="49" customHeight="1" x14ac:dyDescent="0.3">
      <c r="A101" s="353"/>
      <c r="B101" s="338"/>
      <c r="C101" s="114" t="s">
        <v>118</v>
      </c>
      <c r="D101" s="7">
        <v>24</v>
      </c>
      <c r="E101" s="39">
        <f>'1-Hypothèses'!$C$16</f>
        <v>0.95</v>
      </c>
      <c r="F101" s="45">
        <f>D101*E101*'1-Hypothèses'!B$5</f>
        <v>113.99999999999999</v>
      </c>
      <c r="G101" s="30">
        <v>56.666666666666657</v>
      </c>
      <c r="H101" s="48">
        <f>G101/E101/'1-Hypothèses'!$B$5</f>
        <v>11.929824561403507</v>
      </c>
      <c r="I101" s="39">
        <f t="shared" si="12"/>
        <v>0.49707602339181278</v>
      </c>
      <c r="J101" s="45">
        <v>113.33333333333331</v>
      </c>
      <c r="K101" s="48">
        <f>J101/E101/'1-Hypothèses'!$B$5</f>
        <v>23.859649122807014</v>
      </c>
      <c r="L101" s="39">
        <f t="shared" si="13"/>
        <v>0.99415204678362556</v>
      </c>
      <c r="M101" s="41"/>
      <c r="N101" s="45">
        <v>113.33333333333334</v>
      </c>
      <c r="O101" s="45">
        <v>56.666666666666686</v>
      </c>
      <c r="P101" s="45">
        <f t="shared" si="14"/>
        <v>113.33333333333331</v>
      </c>
      <c r="Q101" s="45">
        <f t="shared" si="15"/>
        <v>226.66666666666663</v>
      </c>
    </row>
    <row r="102" spans="1:17" ht="49" customHeight="1" x14ac:dyDescent="0.3">
      <c r="A102" s="372"/>
      <c r="B102" s="339"/>
      <c r="C102" s="114" t="s">
        <v>132</v>
      </c>
      <c r="D102" s="7">
        <f>'1-Hypothèses'!B16</f>
        <v>25</v>
      </c>
      <c r="E102" s="39">
        <f>'1-Hypothèses'!$C$16</f>
        <v>0.95</v>
      </c>
      <c r="F102" s="45">
        <f>D102*E102*'1-Hypothèses'!B$5</f>
        <v>118.75</v>
      </c>
      <c r="G102" s="30">
        <v>56.666666666666657</v>
      </c>
      <c r="H102" s="48">
        <f>G102/E102/'1-Hypothèses'!$B$5</f>
        <v>11.929824561403507</v>
      </c>
      <c r="I102" s="39">
        <f t="shared" si="12"/>
        <v>0.47719298245614028</v>
      </c>
      <c r="J102" s="45">
        <v>113.33333333333331</v>
      </c>
      <c r="K102" s="48">
        <f>J102/E102/'1-Hypothèses'!$B$5</f>
        <v>23.859649122807014</v>
      </c>
      <c r="L102" s="39">
        <f t="shared" si="13"/>
        <v>0.95438596491228056</v>
      </c>
      <c r="M102" s="41"/>
      <c r="N102" s="45">
        <v>113.33333333333334</v>
      </c>
      <c r="O102" s="45">
        <v>56.666666666666686</v>
      </c>
      <c r="P102" s="45">
        <f t="shared" si="14"/>
        <v>113.33333333333331</v>
      </c>
      <c r="Q102" s="45">
        <f t="shared" si="15"/>
        <v>226.66666666666663</v>
      </c>
    </row>
    <row r="103" spans="1:17" ht="49" customHeight="1" x14ac:dyDescent="0.3">
      <c r="A103" s="371" t="s">
        <v>160</v>
      </c>
      <c r="B103" s="347" t="s">
        <v>159</v>
      </c>
      <c r="C103" s="97" t="s">
        <v>136</v>
      </c>
      <c r="D103" s="97">
        <v>25</v>
      </c>
      <c r="E103" s="90">
        <f>'1-Hypothèses'!$C$16</f>
        <v>0.95</v>
      </c>
      <c r="F103" s="92">
        <f>D103*E103*'1-Hypothèses'!B$5</f>
        <v>118.75</v>
      </c>
      <c r="G103" s="91"/>
      <c r="H103" s="181">
        <f>G103/E103/'1-Hypothèses'!$B$5</f>
        <v>0</v>
      </c>
      <c r="I103" s="90">
        <f t="shared" si="12"/>
        <v>0</v>
      </c>
      <c r="J103" s="92">
        <f>'1-Hypothèses'!B$21*('Annexe - Volume'!J78+'Annexe - Volume'!J84+'Annexe - Volume'!J90+'Annexe - Volume'!J96+'Annexe - Volume'!J108+'Annexe - Volume'!J113+'Annexe - Volume'!J121)</f>
        <v>17.235873731617936</v>
      </c>
      <c r="K103" s="181">
        <f>J103/E103/'1-Hypothèses'!$B$5</f>
        <v>3.6286049961300919</v>
      </c>
      <c r="L103" s="90">
        <f t="shared" si="13"/>
        <v>0.14514419984520369</v>
      </c>
      <c r="M103" s="93"/>
      <c r="N103" s="23">
        <f>'1-Hypothèses'!B$21*('Annexe - Volume'!N78+'Annexe - Volume'!N84+'Annexe - Volume'!N90+'Annexe - Volume'!N96+'Annexe - Volume'!N108+'Annexe - Volume'!N113+'Annexe - Volume'!N121)</f>
        <v>10.083973523690137</v>
      </c>
      <c r="O103" s="23">
        <f>'1-Hypothèses'!B$21*('Annexe - Volume'!O78+'Annexe - Volume'!O84+'Annexe - Volume'!O90+'Annexe - Volume'!O96+'Annexe - Volume'!O108+'Annexe - Volume'!O113+'Annexe - Volume'!O121)</f>
        <v>12.82157105576348</v>
      </c>
      <c r="P103" s="23">
        <f t="shared" si="14"/>
        <v>0</v>
      </c>
      <c r="Q103" s="23">
        <f t="shared" si="15"/>
        <v>34.471747463235872</v>
      </c>
    </row>
    <row r="104" spans="1:17" ht="49" customHeight="1" x14ac:dyDescent="0.3">
      <c r="A104" s="371"/>
      <c r="B104" s="348"/>
      <c r="C104" s="183" t="s">
        <v>152</v>
      </c>
      <c r="D104" s="97">
        <v>25</v>
      </c>
      <c r="E104" s="90">
        <f>'1-Hypothèses'!$C$16</f>
        <v>0.95</v>
      </c>
      <c r="F104" s="92">
        <f>D104*E104*'1-Hypothèses'!B$5</f>
        <v>118.75</v>
      </c>
      <c r="G104" s="91">
        <f>'1-Hypothèses'!B$21*('Annexe - Volume'!G79+'Annexe - Volume'!G85+'Annexe - Volume'!G91+'Annexe - Volume'!G97+'Annexe - Volume'!G109+'Annexe - Volume'!G114+'Annexe - Volume'!G122)</f>
        <v>13.560095248390406</v>
      </c>
      <c r="H104" s="181">
        <f>G104/E104/'1-Hypothèses'!$B$5</f>
        <v>2.8547568943979802</v>
      </c>
      <c r="I104" s="90">
        <f t="shared" si="12"/>
        <v>0.11419027577591921</v>
      </c>
      <c r="J104" s="92">
        <f>'1-Hypothèses'!B$21*('Annexe - Volume'!J79+'Annexe - Volume'!J85+'Annexe - Volume'!J91+'Annexe - Volume'!J97+'Annexe - Volume'!J109+'Annexe - Volume'!J114+'Annexe - Volume'!J122)</f>
        <v>17.235873731617936</v>
      </c>
      <c r="K104" s="181">
        <f>J104/E104/'1-Hypothèses'!$B$5</f>
        <v>3.6286049961300919</v>
      </c>
      <c r="L104" s="90">
        <f t="shared" si="13"/>
        <v>0.14514419984520369</v>
      </c>
      <c r="M104" s="93"/>
      <c r="N104" s="23">
        <f>'1-Hypothèses'!B$21*('Annexe - Volume'!N79+'Annexe - Volume'!N85+'Annexe - Volume'!N91+'Annexe - Volume'!N97+'Annexe - Volume'!N109+'Annexe - Volume'!N114+'Annexe - Volume'!N122)</f>
        <v>10.083973523690137</v>
      </c>
      <c r="O104" s="23">
        <f>'1-Hypothèses'!B$21*('Annexe - Volume'!O79+'Annexe - Volume'!O85+'Annexe - Volume'!O91+'Annexe - Volume'!O97+'Annexe - Volume'!O109+'Annexe - Volume'!O114+'Annexe - Volume'!O122)</f>
        <v>12.82157105576348</v>
      </c>
      <c r="P104" s="23">
        <f t="shared" si="14"/>
        <v>27.120190496780811</v>
      </c>
      <c r="Q104" s="23">
        <f t="shared" si="15"/>
        <v>34.471747463235872</v>
      </c>
    </row>
    <row r="105" spans="1:17" ht="49" customHeight="1" x14ac:dyDescent="0.3">
      <c r="A105" s="371"/>
      <c r="B105" s="348"/>
      <c r="C105" s="183" t="s">
        <v>155</v>
      </c>
      <c r="D105" s="97">
        <v>18</v>
      </c>
      <c r="E105" s="90">
        <f>'1-Hypothèses'!$C$16</f>
        <v>0.95</v>
      </c>
      <c r="F105" s="92">
        <f>D105*E105*'1-Hypothèses'!B$5</f>
        <v>85.499999999999986</v>
      </c>
      <c r="G105" s="91">
        <f>'1-Hypothèses'!B$21*('Annexe - Volume'!G80+'Annexe - Volume'!G86+'Annexe - Volume'!G92+'Annexe - Volume'!G98+'Annexe - Volume'!G110+'Annexe - Volume'!G115+'Annexe - Volume'!G123)</f>
        <v>13.560095248390406</v>
      </c>
      <c r="H105" s="181">
        <f>G105/E105/'1-Hypothèses'!$B$5</f>
        <v>2.8547568943979802</v>
      </c>
      <c r="I105" s="90">
        <f t="shared" si="12"/>
        <v>0.15859760524433222</v>
      </c>
      <c r="J105" s="92">
        <f>'1-Hypothèses'!B$21*('Annexe - Volume'!J80+'Annexe - Volume'!J86+'Annexe - Volume'!J92+'Annexe - Volume'!J98+'Annexe - Volume'!J110+'Annexe - Volume'!J115+'Annexe - Volume'!J123)</f>
        <v>17.235873731617936</v>
      </c>
      <c r="K105" s="181">
        <f>J105/E105/'1-Hypothèses'!$B$5</f>
        <v>3.6286049961300919</v>
      </c>
      <c r="L105" s="90">
        <f t="shared" si="13"/>
        <v>0.20158916645167177</v>
      </c>
      <c r="M105" s="93"/>
      <c r="N105" s="23">
        <f>'1-Hypothèses'!B$21*('Annexe - Volume'!N80+'Annexe - Volume'!N86+'Annexe - Volume'!N92+'Annexe - Volume'!N98+'Annexe - Volume'!N110+'Annexe - Volume'!N115+'Annexe - Volume'!N123)</f>
        <v>10.083973523690137</v>
      </c>
      <c r="O105" s="23">
        <f>'1-Hypothèses'!B$21*('Annexe - Volume'!O80+'Annexe - Volume'!O86+'Annexe - Volume'!O92+'Annexe - Volume'!O98+'Annexe - Volume'!O110+'Annexe - Volume'!O115+'Annexe - Volume'!O123)</f>
        <v>12.82157105576348</v>
      </c>
      <c r="P105" s="23">
        <f t="shared" si="14"/>
        <v>27.120190496780811</v>
      </c>
      <c r="Q105" s="23">
        <f t="shared" si="15"/>
        <v>34.471747463235872</v>
      </c>
    </row>
    <row r="106" spans="1:17" ht="49" customHeight="1" x14ac:dyDescent="0.3">
      <c r="A106" s="371"/>
      <c r="B106" s="348"/>
      <c r="C106" s="183" t="s">
        <v>153</v>
      </c>
      <c r="D106" s="98" t="s">
        <v>440</v>
      </c>
      <c r="E106" s="90">
        <f>'1-Hypothèses'!$C$16</f>
        <v>0.95</v>
      </c>
      <c r="F106" s="92" t="s">
        <v>365</v>
      </c>
      <c r="G106" s="91">
        <f>'1-Hypothèses'!B$21*('Annexe - Volume'!G78+'Annexe - Volume'!G84+'Annexe - Volume'!G90+'Annexe - Volume'!G96+'Annexe - Volume'!G108+G113+'Annexe - Volume'!G121)</f>
        <v>13.560095248390406</v>
      </c>
      <c r="H106" s="181">
        <f>G106/E106/'1-Hypothèses'!$B$5</f>
        <v>2.8547568943979802</v>
      </c>
      <c r="I106" s="90" t="s">
        <v>365</v>
      </c>
      <c r="J106" s="92">
        <f>'1-Hypothèses'!B$21*('Annexe - Volume'!J81+'Annexe - Volume'!J87+'Annexe - Volume'!J93+'Annexe - Volume'!J99+'Annexe - Volume'!J111+'Annexe - Volume'!J116+'Annexe - Volume'!J124)</f>
        <v>16.569423074773205</v>
      </c>
      <c r="K106" s="181">
        <f>J106/E106/'1-Hypothèses'!$B$5</f>
        <v>3.4882995946890958</v>
      </c>
      <c r="L106" s="90" t="s">
        <v>441</v>
      </c>
      <c r="M106" s="93"/>
      <c r="N106" s="23">
        <f>'1-Hypothèses'!B$21*('Annexe - Volume'!N81+'Annexe - Volume'!N87+'Annexe - Volume'!N93+'Annexe - Volume'!N99+'Annexe - Volume'!N111+'Annexe - Volume'!N116+'Annexe - Volume'!N124)</f>
        <v>9.1312078101752618</v>
      </c>
      <c r="O106" s="23">
        <f>'1-Hypothèses'!B$21*('Annexe - Volume'!O81+'Annexe - Volume'!O87+'Annexe - Volume'!O93+'Annexe - Volume'!O99+'Annexe - Volume'!O111+'Annexe - Volume'!O116+'Annexe - Volume'!O124)</f>
        <v>9.9708545540338918</v>
      </c>
      <c r="P106" s="23">
        <f t="shared" si="14"/>
        <v>27.120190496780811</v>
      </c>
      <c r="Q106" s="23">
        <f t="shared" si="15"/>
        <v>33.13884614954641</v>
      </c>
    </row>
    <row r="107" spans="1:17" ht="49" customHeight="1" x14ac:dyDescent="0.3">
      <c r="A107" s="371"/>
      <c r="B107" s="364"/>
      <c r="C107" s="183" t="s">
        <v>154</v>
      </c>
      <c r="D107" s="97">
        <v>25</v>
      </c>
      <c r="E107" s="90">
        <f>'1-Hypothèses'!$C$16</f>
        <v>0.95</v>
      </c>
      <c r="F107" s="92">
        <f>D107*E107*'1-Hypothèses'!B$5</f>
        <v>118.75</v>
      </c>
      <c r="G107" s="91">
        <f>'1-Hypothèses'!B$21*('Annexe - Volume'!G82+'Annexe - Volume'!G88+'Annexe - Volume'!G94+'Annexe - Volume'!G100+'Annexe - Volume'!G113+'Annexe - Volume'!G116+'Annexe - Volume'!G125)</f>
        <v>11.459582362412426</v>
      </c>
      <c r="H107" s="181">
        <f>G107/E107/'1-Hypothèses'!$B$5</f>
        <v>2.4125436552447215</v>
      </c>
      <c r="I107" s="90">
        <f t="shared" si="12"/>
        <v>9.6501746209788852E-2</v>
      </c>
      <c r="J107" s="92">
        <f>'1-Hypothèses'!B$21*('Annexe - Volume'!J82+'Annexe - Volume'!J88+'Annexe - Volume'!J94+'Annexe - Volume'!J100+'Annexe - Volume'!J113+'Annexe - Volume'!J116+'Annexe - Volume'!J125)</f>
        <v>14.758618488621677</v>
      </c>
      <c r="K107" s="181">
        <f>J107/E107/'1-Hypothèses'!$B$5</f>
        <v>3.1070775765519323</v>
      </c>
      <c r="L107" s="90">
        <f t="shared" si="13"/>
        <v>0.12428310306207729</v>
      </c>
      <c r="M107" s="93"/>
      <c r="N107" s="23">
        <f>'1-Hypothèses'!B$21*('Annexe - Volume'!N82+'Annexe - Volume'!N88+'Annexe - Volume'!N94+'Annexe - Volume'!N100+'Annexe - Volume'!N112+'Annexe - Volume'!N117+'Annexe - Volume'!N125)</f>
        <v>8.5312078101752622</v>
      </c>
      <c r="O107" s="23">
        <f>'1-Hypothèses'!B$21*('Annexe - Volume'!O82+'Annexe - Volume'!O88+'Annexe - Volume'!O94+'Annexe - Volume'!O100+'Annexe - Volume'!O112+'Annexe - Volume'!O117+'Annexe - Volume'!O125)</f>
        <v>9.3708545540338903</v>
      </c>
      <c r="P107" s="23">
        <f t="shared" si="14"/>
        <v>22.919164724824853</v>
      </c>
      <c r="Q107" s="23">
        <f t="shared" si="15"/>
        <v>29.517236977243353</v>
      </c>
    </row>
    <row r="108" spans="1:17" ht="49" customHeight="1" x14ac:dyDescent="0.3">
      <c r="A108" s="337" t="s">
        <v>120</v>
      </c>
      <c r="B108" s="349" t="s">
        <v>310</v>
      </c>
      <c r="C108" s="86" t="s">
        <v>116</v>
      </c>
      <c r="D108" s="7">
        <f>'1-Hypothèses'!B16</f>
        <v>25</v>
      </c>
      <c r="E108" s="39">
        <f>'1-Hypothèses'!$C$16</f>
        <v>0.95</v>
      </c>
      <c r="F108" s="87">
        <f>D108*'1-Hypothèses'!B$5*E108</f>
        <v>118.75</v>
      </c>
      <c r="G108" s="30">
        <v>6.1780641328440087</v>
      </c>
      <c r="H108" s="48">
        <f>G108/'1-Hypothèses'!$B$5/'Annexe - Volume'!E108</f>
        <v>1.3006450805987388</v>
      </c>
      <c r="I108" s="39">
        <f>H108/D108</f>
        <v>5.2025803223949556E-2</v>
      </c>
      <c r="J108" s="45">
        <v>14.550116511027943</v>
      </c>
      <c r="K108" s="48">
        <f>J108/'1-Hypothèses'!B$5/'Annexe - Volume'!E108</f>
        <v>3.0631824233743035</v>
      </c>
      <c r="L108" s="39">
        <f>K108/D108</f>
        <v>0.12252729693497214</v>
      </c>
      <c r="M108" s="41" t="s">
        <v>115</v>
      </c>
      <c r="N108" s="45">
        <v>8.0371117001562471</v>
      </c>
      <c r="O108" s="45">
        <v>25.727658558191926</v>
      </c>
      <c r="P108" s="45">
        <f t="shared" si="14"/>
        <v>12.356128265688017</v>
      </c>
      <c r="Q108" s="45">
        <f t="shared" si="15"/>
        <v>29.100233022055882</v>
      </c>
    </row>
    <row r="109" spans="1:17" ht="49" customHeight="1" x14ac:dyDescent="0.3">
      <c r="A109" s="338"/>
      <c r="B109" s="350"/>
      <c r="C109" s="69" t="s">
        <v>117</v>
      </c>
      <c r="D109" s="7">
        <f>25*3</f>
        <v>75</v>
      </c>
      <c r="E109" s="39">
        <f>'1-Hypothèses'!$C$16</f>
        <v>0.95</v>
      </c>
      <c r="F109" s="87">
        <f>D109*'1-Hypothèses'!B$5*E109</f>
        <v>356.25</v>
      </c>
      <c r="G109" s="30">
        <v>6.1780641328440087</v>
      </c>
      <c r="H109" s="48">
        <f>G109/'1-Hypothèses'!$B$5/'Annexe - Volume'!E109</f>
        <v>1.3006450805987388</v>
      </c>
      <c r="I109" s="39">
        <f t="shared" ref="I109:I120" si="16">H109/D109</f>
        <v>1.7341934407983185E-2</v>
      </c>
      <c r="J109" s="45">
        <v>14.550116511027943</v>
      </c>
      <c r="K109" s="48">
        <f>J109/'1-Hypothèses'!B$5/'Annexe - Volume'!E109</f>
        <v>3.0631824233743035</v>
      </c>
      <c r="L109" s="39">
        <f t="shared" ref="L109:L120" si="17">K109/D109</f>
        <v>4.0842432311657378E-2</v>
      </c>
      <c r="M109" s="41" t="s">
        <v>115</v>
      </c>
      <c r="N109" s="45">
        <v>8.0371117001562471</v>
      </c>
      <c r="O109" s="45">
        <v>25.727658558191926</v>
      </c>
      <c r="P109" s="45">
        <f t="shared" si="14"/>
        <v>12.356128265688017</v>
      </c>
      <c r="Q109" s="45">
        <f t="shared" si="15"/>
        <v>29.100233022055882</v>
      </c>
    </row>
    <row r="110" spans="1:17" ht="49" customHeight="1" x14ac:dyDescent="0.3">
      <c r="A110" s="338"/>
      <c r="B110" s="350"/>
      <c r="C110" s="88" t="s">
        <v>118</v>
      </c>
      <c r="D110" s="68">
        <v>24</v>
      </c>
      <c r="E110" s="39">
        <f>'1-Hypothèses'!$C$16</f>
        <v>0.95</v>
      </c>
      <c r="F110" s="87">
        <f>D110*'1-Hypothèses'!B$5*E110</f>
        <v>114</v>
      </c>
      <c r="G110" s="30">
        <v>6.1780641328440087</v>
      </c>
      <c r="H110" s="48">
        <f>G110/'1-Hypothèses'!$B$5/'Annexe - Volume'!E110</f>
        <v>1.3006450805987388</v>
      </c>
      <c r="I110" s="39">
        <f t="shared" si="16"/>
        <v>5.419354502494745E-2</v>
      </c>
      <c r="J110" s="45">
        <v>14.550116511027943</v>
      </c>
      <c r="K110" s="48">
        <f>J110/'1-Hypothèses'!B$5/'Annexe - Volume'!E110</f>
        <v>3.0631824233743035</v>
      </c>
      <c r="L110" s="39">
        <f t="shared" si="17"/>
        <v>0.12763260097392931</v>
      </c>
      <c r="M110" s="41" t="s">
        <v>115</v>
      </c>
      <c r="N110" s="45">
        <v>8.0371117001562471</v>
      </c>
      <c r="O110" s="45">
        <v>25.727658558191926</v>
      </c>
      <c r="P110" s="45">
        <f t="shared" si="14"/>
        <v>12.356128265688017</v>
      </c>
      <c r="Q110" s="45">
        <f t="shared" si="15"/>
        <v>29.100233022055882</v>
      </c>
    </row>
    <row r="111" spans="1:17" ht="49" customHeight="1" x14ac:dyDescent="0.3">
      <c r="A111" s="338"/>
      <c r="B111" s="351"/>
      <c r="C111" s="89" t="s">
        <v>119</v>
      </c>
      <c r="D111" s="7">
        <v>24</v>
      </c>
      <c r="E111" s="39">
        <f>'1-Hypothèses'!$C$16</f>
        <v>0.95</v>
      </c>
      <c r="F111" s="87">
        <f>D111*'1-Hypothèses'!B$5*E111</f>
        <v>114</v>
      </c>
      <c r="G111" s="30">
        <v>6.1780641328440087</v>
      </c>
      <c r="H111" s="48">
        <f>G111/'1-Hypothèses'!$B$5/'Annexe - Volume'!E111</f>
        <v>1.3006450805987388</v>
      </c>
      <c r="I111" s="39">
        <f t="shared" si="16"/>
        <v>5.419354502494745E-2</v>
      </c>
      <c r="J111" s="45">
        <v>14.550116511027943</v>
      </c>
      <c r="K111" s="48">
        <f>J111/'1-Hypothèses'!B$5/'Annexe - Volume'!E111</f>
        <v>3.0631824233743035</v>
      </c>
      <c r="L111" s="39">
        <f t="shared" si="17"/>
        <v>0.12763260097392931</v>
      </c>
      <c r="M111" s="41" t="s">
        <v>115</v>
      </c>
      <c r="N111" s="45">
        <v>8.0371117001562471</v>
      </c>
      <c r="O111" s="45">
        <v>25.727658558191926</v>
      </c>
      <c r="P111" s="45">
        <f t="shared" si="14"/>
        <v>12.356128265688017</v>
      </c>
      <c r="Q111" s="45">
        <f t="shared" si="15"/>
        <v>29.100233022055882</v>
      </c>
    </row>
    <row r="112" spans="1:17" ht="49" customHeight="1" x14ac:dyDescent="0.3">
      <c r="A112" s="339"/>
      <c r="B112" s="193" t="s">
        <v>341</v>
      </c>
      <c r="C112" s="69" t="s">
        <v>342</v>
      </c>
      <c r="D112" s="7">
        <v>54</v>
      </c>
      <c r="E112" s="39">
        <f>'1-Hypothèses'!$C$16</f>
        <v>0.95</v>
      </c>
      <c r="F112" s="87">
        <f>D112*'1-Hypothèses'!B$5*E112</f>
        <v>256.5</v>
      </c>
      <c r="G112" s="30">
        <v>6.1780641328440087</v>
      </c>
      <c r="H112" s="48">
        <f>G112/'1-Hypothèses'!$B$5/'Annexe - Volume'!E112</f>
        <v>1.3006450805987388</v>
      </c>
      <c r="I112" s="39">
        <f t="shared" si="16"/>
        <v>2.4086020011087755E-2</v>
      </c>
      <c r="J112" s="45">
        <v>14.550116511027943</v>
      </c>
      <c r="K112" s="48">
        <f>J112/'1-Hypothèses'!B$5/'Annexe - Volume'!E112</f>
        <v>3.0631824233743035</v>
      </c>
      <c r="L112" s="39">
        <f t="shared" si="17"/>
        <v>5.6725600432857473E-2</v>
      </c>
      <c r="M112" s="7" t="s">
        <v>357</v>
      </c>
      <c r="N112" s="45">
        <v>8.0371117001562471</v>
      </c>
      <c r="O112" s="45">
        <v>25.727658558191926</v>
      </c>
      <c r="P112" s="45">
        <f t="shared" si="14"/>
        <v>12.356128265688017</v>
      </c>
      <c r="Q112" s="45">
        <f t="shared" si="15"/>
        <v>29.100233022055882</v>
      </c>
    </row>
    <row r="113" spans="1:17" ht="49" customHeight="1" x14ac:dyDescent="0.3">
      <c r="A113" s="332" t="s">
        <v>122</v>
      </c>
      <c r="B113" s="340" t="s">
        <v>123</v>
      </c>
      <c r="C113" s="104" t="s">
        <v>124</v>
      </c>
      <c r="D113" s="75">
        <f>'1-Hypothèses'!B16</f>
        <v>25</v>
      </c>
      <c r="E113" s="77">
        <f>'1-Hypothèses'!$C$16</f>
        <v>0.95</v>
      </c>
      <c r="F113" s="105">
        <f>D113*'1-Hypothèses'!B$5*E113</f>
        <v>118.75</v>
      </c>
      <c r="G113" s="79">
        <v>17.857174168297455</v>
      </c>
      <c r="H113" s="101">
        <f>G113/'1-Hypothèses'!$B$5/'Annexe - Volume'!E113</f>
        <v>3.7594050880626222</v>
      </c>
      <c r="I113" s="77">
        <f t="shared" si="16"/>
        <v>0.15037620352250489</v>
      </c>
      <c r="J113" s="78">
        <v>26.334024787997393</v>
      </c>
      <c r="K113" s="101">
        <f>J113/'1-Hypothèses'!B$5/'Annexe - Volume'!E113</f>
        <v>5.5440052185257667</v>
      </c>
      <c r="L113" s="77">
        <f t="shared" si="17"/>
        <v>0.22176020874103067</v>
      </c>
      <c r="M113" s="76"/>
      <c r="N113" s="23">
        <v>21.809025440313107</v>
      </c>
      <c r="O113" s="23">
        <v>61.537095890410967</v>
      </c>
      <c r="P113" s="23">
        <f t="shared" si="14"/>
        <v>35.714348336594909</v>
      </c>
      <c r="Q113" s="23">
        <f t="shared" si="15"/>
        <v>52.668049575994786</v>
      </c>
    </row>
    <row r="114" spans="1:17" ht="49" customHeight="1" x14ac:dyDescent="0.3">
      <c r="A114" s="333"/>
      <c r="B114" s="341"/>
      <c r="C114" s="104" t="s">
        <v>125</v>
      </c>
      <c r="D114" s="75">
        <v>20</v>
      </c>
      <c r="E114" s="77">
        <f>'1-Hypothèses'!$C$16</f>
        <v>0.95</v>
      </c>
      <c r="F114" s="105">
        <f>D114*'1-Hypothèses'!B$5*E114</f>
        <v>95</v>
      </c>
      <c r="G114" s="79">
        <v>17.857174168297455</v>
      </c>
      <c r="H114" s="101">
        <f>G114/'1-Hypothèses'!$B$5/'Annexe - Volume'!E114</f>
        <v>3.7594050880626222</v>
      </c>
      <c r="I114" s="77">
        <f t="shared" si="16"/>
        <v>0.18797025440313112</v>
      </c>
      <c r="J114" s="78">
        <v>26.334024787997393</v>
      </c>
      <c r="K114" s="101">
        <f>J114/'1-Hypothèses'!B$5/'Annexe - Volume'!E114</f>
        <v>5.5440052185257667</v>
      </c>
      <c r="L114" s="77">
        <f t="shared" si="17"/>
        <v>0.27720026092628836</v>
      </c>
      <c r="M114" s="76"/>
      <c r="N114" s="23">
        <v>21.809025440313107</v>
      </c>
      <c r="O114" s="23">
        <v>61.537095890410967</v>
      </c>
      <c r="P114" s="23">
        <f t="shared" si="14"/>
        <v>35.714348336594909</v>
      </c>
      <c r="Q114" s="23">
        <f t="shared" si="15"/>
        <v>52.668049575994786</v>
      </c>
    </row>
    <row r="115" spans="1:17" ht="49" customHeight="1" x14ac:dyDescent="0.3">
      <c r="A115" s="334"/>
      <c r="B115" s="369"/>
      <c r="C115" s="106" t="s">
        <v>126</v>
      </c>
      <c r="D115" s="103">
        <v>9</v>
      </c>
      <c r="E115" s="107">
        <f>'1-Hypothèses'!$C$16</f>
        <v>0.95</v>
      </c>
      <c r="F115" s="108">
        <f>D115*'1-Hypothèses'!B$5*E115</f>
        <v>42.75</v>
      </c>
      <c r="G115" s="109">
        <v>17.857174168297455</v>
      </c>
      <c r="H115" s="110">
        <f>G115/'1-Hypothèses'!$B$5/'Annexe - Volume'!E115</f>
        <v>3.7594050880626222</v>
      </c>
      <c r="I115" s="107">
        <f t="shared" si="16"/>
        <v>0.41771167645140245</v>
      </c>
      <c r="J115" s="111">
        <v>26.334024787997393</v>
      </c>
      <c r="K115" s="110">
        <f>J115/'1-Hypothèses'!B$5/'Annexe - Volume'!E115</f>
        <v>5.5440052185257667</v>
      </c>
      <c r="L115" s="107">
        <f t="shared" si="17"/>
        <v>0.61600057983619627</v>
      </c>
      <c r="M115" s="112"/>
      <c r="N115" s="23">
        <v>21.809025440313107</v>
      </c>
      <c r="O115" s="23">
        <v>61.537095890410967</v>
      </c>
      <c r="P115" s="23">
        <f t="shared" si="14"/>
        <v>35.714348336594909</v>
      </c>
      <c r="Q115" s="23">
        <f t="shared" si="15"/>
        <v>52.668049575994786</v>
      </c>
    </row>
    <row r="116" spans="1:17" ht="83" customHeight="1" x14ac:dyDescent="0.3">
      <c r="A116" s="352" t="s">
        <v>361</v>
      </c>
      <c r="B116" s="354" t="s">
        <v>198</v>
      </c>
      <c r="C116" s="7" t="s">
        <v>162</v>
      </c>
      <c r="D116" s="7">
        <v>28</v>
      </c>
      <c r="E116" s="95">
        <f>'1-Hypothèses'!$C$16</f>
        <v>0.95</v>
      </c>
      <c r="F116" s="234">
        <f>D116*'1-Hypothèses'!B$5*E116</f>
        <v>133</v>
      </c>
      <c r="G116" s="30">
        <f>'1-Hypothèses'!B$26*('Annexe - Volume'!G78+'Annexe - Volume'!G90)+'1-Hypothèses'!B$26*'Annexe - Volume'!G108</f>
        <v>12.167806413284401</v>
      </c>
      <c r="H116" s="96">
        <f>G116/'1-Hypothèses'!$B$5/'Annexe - Volume'!E116</f>
        <v>2.5616434554282952</v>
      </c>
      <c r="I116" s="95">
        <f t="shared" si="16"/>
        <v>9.1487266265296255E-2</v>
      </c>
      <c r="J116" s="45">
        <f>'1-Hypothèses'!B$26*('Annexe - Volume'!J78+'Annexe - Volume'!J90+'Annexe - Volume'!J108)</f>
        <v>13.005011651102794</v>
      </c>
      <c r="K116" s="96">
        <f>J116/'1-Hypothèses'!B$5/'Annexe - Volume'!E116</f>
        <v>2.7378971897058513</v>
      </c>
      <c r="L116" s="95">
        <f t="shared" si="17"/>
        <v>9.7782042489494694E-2</v>
      </c>
      <c r="M116" s="7" t="s">
        <v>199</v>
      </c>
      <c r="N116" s="45">
        <f>'1-Hypothèses'!B$26*('Annexe - Volume'!N78+'Annexe - Volume'!N90)+'1-Hypothèses'!B$26*'Annexe - Volume'!N108</f>
        <v>2.7537111700156247</v>
      </c>
      <c r="O116" s="45">
        <f>'1-Hypothèses'!B$26*('Annexe - Volume'!O78+'Annexe - Volume'!O90)+'1-Hypothèses'!B$26*'Annexe - Volume'!O108</f>
        <v>4.522765855819193</v>
      </c>
      <c r="P116" s="45">
        <f t="shared" si="14"/>
        <v>24.335612826568806</v>
      </c>
      <c r="Q116" s="45">
        <f t="shared" si="15"/>
        <v>26.010023302205585</v>
      </c>
    </row>
    <row r="117" spans="1:17" ht="74.5" customHeight="1" x14ac:dyDescent="0.3">
      <c r="A117" s="353"/>
      <c r="B117" s="355"/>
      <c r="C117" s="7" t="s">
        <v>137</v>
      </c>
      <c r="D117" s="41">
        <v>60</v>
      </c>
      <c r="E117" s="95">
        <f>'1-Hypothèses'!$C$16</f>
        <v>0.95</v>
      </c>
      <c r="F117" s="234">
        <f>D117*'1-Hypothèses'!B$5*E117</f>
        <v>285</v>
      </c>
      <c r="G117" s="30">
        <f>'1-Hypothèses'!B$26*('Annexe - Volume'!G79+'Annexe - Volume'!G91)+'1-Hypothèses'!B$26*'Annexe - Volume'!G109</f>
        <v>12.167806413284401</v>
      </c>
      <c r="H117" s="96">
        <f>G117/'1-Hypothèses'!$B$5/'Annexe - Volume'!E117</f>
        <v>2.5616434554282952</v>
      </c>
      <c r="I117" s="95">
        <f t="shared" si="16"/>
        <v>4.2694057590471589E-2</v>
      </c>
      <c r="J117" s="45">
        <f>'1-Hypothèses'!B$26*('Annexe - Volume'!J79+'Annexe - Volume'!J91+'Annexe - Volume'!J109)</f>
        <v>13.005011651102794</v>
      </c>
      <c r="K117" s="96">
        <f>J117/'1-Hypothèses'!B$5/'Annexe - Volume'!E117</f>
        <v>2.7378971897058513</v>
      </c>
      <c r="L117" s="95">
        <f t="shared" si="17"/>
        <v>4.5631619828430857E-2</v>
      </c>
      <c r="M117" s="116"/>
      <c r="N117" s="45">
        <f>'1-Hypothèses'!B$26*('Annexe - Volume'!N79+'Annexe - Volume'!N91)+'1-Hypothèses'!B$26*'Annexe - Volume'!N109</f>
        <v>2.7537111700156247</v>
      </c>
      <c r="O117" s="45">
        <f>'1-Hypothèses'!B$26*('Annexe - Volume'!O79+'Annexe - Volume'!O91)+'1-Hypothèses'!B$26*'Annexe - Volume'!O109</f>
        <v>4.522765855819193</v>
      </c>
      <c r="P117" s="45">
        <f t="shared" si="14"/>
        <v>24.335612826568806</v>
      </c>
      <c r="Q117" s="45">
        <f t="shared" si="15"/>
        <v>26.010023302205585</v>
      </c>
    </row>
    <row r="118" spans="1:17" ht="49" customHeight="1" x14ac:dyDescent="0.3">
      <c r="A118" s="353"/>
      <c r="B118" s="355"/>
      <c r="C118" s="235" t="s">
        <v>128</v>
      </c>
      <c r="D118" s="42">
        <f>'1-Hypothèses'!B16</f>
        <v>25</v>
      </c>
      <c r="E118" s="95">
        <f>'1-Hypothèses'!$C$16</f>
        <v>0.95</v>
      </c>
      <c r="F118" s="234">
        <f>D118*'1-Hypothèses'!B$5*E118</f>
        <v>118.75</v>
      </c>
      <c r="G118" s="30">
        <f>'1-Hypothèses'!B$26*('Annexe - Volume'!G80+'Annexe - Volume'!G92)+'1-Hypothèses'!B$26*'Annexe - Volume'!G110</f>
        <v>12.167806413284401</v>
      </c>
      <c r="H118" s="96">
        <f>G118/'1-Hypothèses'!$B$5/'Annexe - Volume'!E118</f>
        <v>2.5616434554282952</v>
      </c>
      <c r="I118" s="95">
        <f t="shared" si="16"/>
        <v>0.10246573821713181</v>
      </c>
      <c r="J118" s="45">
        <f>'1-Hypothèses'!B$26*('Annexe - Volume'!J80+'Annexe - Volume'!J92+'Annexe - Volume'!J110)</f>
        <v>13.005011651102794</v>
      </c>
      <c r="K118" s="96">
        <f>J118/'1-Hypothèses'!B$5/'Annexe - Volume'!E118</f>
        <v>2.7378971897058513</v>
      </c>
      <c r="L118" s="95">
        <f t="shared" si="17"/>
        <v>0.10951588758823405</v>
      </c>
      <c r="M118" s="176"/>
      <c r="N118" s="45">
        <f>'1-Hypothèses'!B$26*('Annexe - Volume'!N80+'Annexe - Volume'!N92)+'1-Hypothèses'!B$26*'Annexe - Volume'!N110</f>
        <v>2.7537111700156247</v>
      </c>
      <c r="O118" s="45">
        <f>'1-Hypothèses'!B$26*('Annexe - Volume'!O80+'Annexe - Volume'!O92)+'1-Hypothèses'!B$26*'Annexe - Volume'!O110</f>
        <v>4.522765855819193</v>
      </c>
      <c r="P118" s="45">
        <f t="shared" si="14"/>
        <v>24.335612826568806</v>
      </c>
      <c r="Q118" s="45">
        <f t="shared" si="15"/>
        <v>26.010023302205585</v>
      </c>
    </row>
    <row r="119" spans="1:17" ht="49" customHeight="1" x14ac:dyDescent="0.3">
      <c r="A119" s="353"/>
      <c r="B119" s="355"/>
      <c r="C119" s="235" t="s">
        <v>129</v>
      </c>
      <c r="D119" s="7">
        <v>230</v>
      </c>
      <c r="E119" s="95">
        <f>'1-Hypothèses'!$C$16</f>
        <v>0.95</v>
      </c>
      <c r="F119" s="234">
        <f>D119*'1-Hypothèses'!B$5*E119</f>
        <v>1092.5</v>
      </c>
      <c r="G119" s="30">
        <f>'1-Hypothèses'!B$26*('Annexe - Volume'!G81+'Annexe - Volume'!G93)+'1-Hypothèses'!B$26*'Annexe - Volume'!G111</f>
        <v>12.167806413284401</v>
      </c>
      <c r="H119" s="96">
        <f>G119/'1-Hypothèses'!$B$5/'Annexe - Volume'!E119</f>
        <v>2.5616434554282952</v>
      </c>
      <c r="I119" s="95">
        <f t="shared" si="16"/>
        <v>1.1137580240992588E-2</v>
      </c>
      <c r="J119" s="45">
        <f>'1-Hypothèses'!B$26*('Annexe - Volume'!J81+'Annexe - Volume'!J93+'Annexe - Volume'!J111)</f>
        <v>13.005011651102794</v>
      </c>
      <c r="K119" s="96">
        <f>J119/'1-Hypothèses'!B$5/'Annexe - Volume'!E119</f>
        <v>2.7378971897058513</v>
      </c>
      <c r="L119" s="95">
        <f t="shared" si="17"/>
        <v>1.1903900824808048E-2</v>
      </c>
      <c r="M119" s="41"/>
      <c r="N119" s="45">
        <f>'1-Hypothèses'!B$26*('Annexe - Volume'!N81+'Annexe - Volume'!N93)+'1-Hypothèses'!B$26*'Annexe - Volume'!N111</f>
        <v>2.7537111700156247</v>
      </c>
      <c r="O119" s="45">
        <f>'1-Hypothèses'!B$26*('Annexe - Volume'!O81+'Annexe - Volume'!O93)+'1-Hypothèses'!B$26*'Annexe - Volume'!O111</f>
        <v>4.522765855819193</v>
      </c>
      <c r="P119" s="45">
        <f t="shared" si="14"/>
        <v>24.335612826568806</v>
      </c>
      <c r="Q119" s="45">
        <f t="shared" si="15"/>
        <v>26.010023302205585</v>
      </c>
    </row>
    <row r="120" spans="1:17" ht="49" customHeight="1" x14ac:dyDescent="0.3">
      <c r="A120" s="353"/>
      <c r="B120" s="355"/>
      <c r="C120" s="236" t="s">
        <v>130</v>
      </c>
      <c r="D120" s="37">
        <f>'1-Hypothèses'!B16</f>
        <v>25</v>
      </c>
      <c r="E120" s="95">
        <f>'1-Hypothèses'!$C$16</f>
        <v>0.95</v>
      </c>
      <c r="F120" s="117">
        <f>D120*'1-Hypothèses'!B$5*E120</f>
        <v>118.75</v>
      </c>
      <c r="G120" s="30">
        <f>'1-Hypothèses'!B$26*('Annexe - Volume'!G82+'Annexe - Volume'!G94)+'1-Hypothèses'!B$26*'Annexe - Volume'!G113</f>
        <v>13.335717416829747</v>
      </c>
      <c r="H120" s="96">
        <f>G120/'1-Hypothèses'!$B$5/'Annexe - Volume'!E120</f>
        <v>2.8075194561746835</v>
      </c>
      <c r="I120" s="95">
        <f t="shared" si="16"/>
        <v>0.11230077824698734</v>
      </c>
      <c r="J120" s="45">
        <f>'1-Hypothèses'!B$26*('Annexe - Volume'!J82+'Annexe - Volume'!J94+'Annexe - Volume'!J113)</f>
        <v>14.183402478799742</v>
      </c>
      <c r="K120" s="96">
        <f>J120/'1-Hypothèses'!B$5/'Annexe - Volume'!E120</f>
        <v>2.9859794692209984</v>
      </c>
      <c r="L120" s="95">
        <f t="shared" si="17"/>
        <v>0.11943917876883994</v>
      </c>
      <c r="M120" s="175"/>
      <c r="N120" s="45">
        <f>'1-Hypothèses'!B$26*('Annexe - Volume'!N82+'Annexe - Volume'!N94)+'1-Hypothèses'!B$26*'Annexe - Volume'!N112</f>
        <v>2.7537111700156247</v>
      </c>
      <c r="O120" s="45">
        <f>'1-Hypothèses'!B$26*('Annexe - Volume'!O82+'Annexe - Volume'!O94)+'1-Hypothèses'!B$26*'Annexe - Volume'!O112</f>
        <v>4.522765855819193</v>
      </c>
      <c r="P120" s="45">
        <f t="shared" si="14"/>
        <v>26.67143483365949</v>
      </c>
      <c r="Q120" s="45">
        <f t="shared" si="15"/>
        <v>28.366804957599484</v>
      </c>
    </row>
    <row r="121" spans="1:17" ht="49" customHeight="1" x14ac:dyDescent="0.3">
      <c r="A121" s="365" t="s">
        <v>147</v>
      </c>
      <c r="B121" s="365" t="s">
        <v>163</v>
      </c>
      <c r="C121" s="97" t="s">
        <v>143</v>
      </c>
      <c r="D121" s="97">
        <f>'1-Hypothèses'!B16</f>
        <v>25</v>
      </c>
      <c r="E121" s="90">
        <f>'1-Hypothèses'!$C$16</f>
        <v>0.95</v>
      </c>
      <c r="F121" s="187">
        <f>D121*'1-Hypothèses'!B$5*E121</f>
        <v>118.75</v>
      </c>
      <c r="G121" s="91">
        <v>48</v>
      </c>
      <c r="H121" s="186">
        <f>G121/'1-Hypothèses'!$B$5/'Annexe - Volume'!E121</f>
        <v>10.105263157894736</v>
      </c>
      <c r="I121" s="90">
        <f>H121/D121</f>
        <v>0.40421052631578946</v>
      </c>
      <c r="J121" s="92">
        <v>48</v>
      </c>
      <c r="K121" s="186">
        <f>J121/'1-Hypothèses'!B$5/'Annexe - Volume'!E121</f>
        <v>10.105263157894736</v>
      </c>
      <c r="L121" s="90">
        <f>K121/D121</f>
        <v>0.40421052631578946</v>
      </c>
      <c r="M121" s="93"/>
      <c r="N121" s="92">
        <v>12</v>
      </c>
      <c r="O121" s="92">
        <v>12</v>
      </c>
      <c r="P121" s="92">
        <f t="shared" si="14"/>
        <v>96</v>
      </c>
      <c r="Q121" s="92">
        <f t="shared" si="15"/>
        <v>96</v>
      </c>
    </row>
    <row r="122" spans="1:17" ht="49" customHeight="1" x14ac:dyDescent="0.3">
      <c r="A122" s="365"/>
      <c r="B122" s="365"/>
      <c r="C122" s="134" t="s">
        <v>116</v>
      </c>
      <c r="D122" s="97">
        <f>'1-Hypothèses'!B16</f>
        <v>25</v>
      </c>
      <c r="E122" s="90">
        <f>'1-Hypothèses'!$C$16</f>
        <v>0.95</v>
      </c>
      <c r="F122" s="187">
        <f>D122*'1-Hypothèses'!B$5*E122</f>
        <v>118.75</v>
      </c>
      <c r="G122" s="91">
        <v>48</v>
      </c>
      <c r="H122" s="186">
        <f>G122/'1-Hypothèses'!$B$5/'Annexe - Volume'!E122</f>
        <v>10.105263157894736</v>
      </c>
      <c r="I122" s="90">
        <f t="shared" ref="I122:I124" si="18">H122/D122</f>
        <v>0.40421052631578946</v>
      </c>
      <c r="J122" s="92">
        <v>48</v>
      </c>
      <c r="K122" s="186">
        <f>J122/'1-Hypothèses'!B$5/'Annexe - Volume'!E122</f>
        <v>10.105263157894736</v>
      </c>
      <c r="L122" s="90">
        <f t="shared" ref="L122:L124" si="19">K122/D122</f>
        <v>0.40421052631578946</v>
      </c>
      <c r="M122" s="93"/>
      <c r="N122" s="92">
        <v>12</v>
      </c>
      <c r="O122" s="92">
        <v>12</v>
      </c>
      <c r="P122" s="92">
        <f t="shared" si="14"/>
        <v>96</v>
      </c>
      <c r="Q122" s="92">
        <f t="shared" si="15"/>
        <v>96</v>
      </c>
    </row>
    <row r="123" spans="1:17" ht="49" customHeight="1" x14ac:dyDescent="0.3">
      <c r="A123" s="365"/>
      <c r="B123" s="365"/>
      <c r="C123" s="97" t="s">
        <v>150</v>
      </c>
      <c r="D123" s="97">
        <v>34</v>
      </c>
      <c r="E123" s="90">
        <f>'1-Hypothèses'!$C$16</f>
        <v>0.95</v>
      </c>
      <c r="F123" s="187">
        <f>D123*'1-Hypothèses'!B$5*E123</f>
        <v>161.5</v>
      </c>
      <c r="G123" s="91">
        <v>48</v>
      </c>
      <c r="H123" s="186">
        <f>G123/'1-Hypothèses'!$B$5/'Annexe - Volume'!E123</f>
        <v>10.105263157894736</v>
      </c>
      <c r="I123" s="90">
        <f t="shared" si="18"/>
        <v>0.29721362229102166</v>
      </c>
      <c r="J123" s="92">
        <v>48</v>
      </c>
      <c r="K123" s="186">
        <f>J123/'1-Hypothèses'!B$5/'Annexe - Volume'!E123</f>
        <v>10.105263157894736</v>
      </c>
      <c r="L123" s="90">
        <f t="shared" si="19"/>
        <v>0.29721362229102166</v>
      </c>
      <c r="M123" s="93"/>
      <c r="N123" s="92">
        <v>12</v>
      </c>
      <c r="O123" s="92">
        <v>12</v>
      </c>
      <c r="P123" s="92">
        <f t="shared" si="14"/>
        <v>96</v>
      </c>
      <c r="Q123" s="92">
        <f t="shared" si="15"/>
        <v>96</v>
      </c>
    </row>
    <row r="124" spans="1:17" ht="49" customHeight="1" x14ac:dyDescent="0.3">
      <c r="A124" s="365"/>
      <c r="B124" s="365"/>
      <c r="C124" s="93" t="s">
        <v>126</v>
      </c>
      <c r="D124" s="93">
        <v>9</v>
      </c>
      <c r="E124" s="90">
        <f>'1-Hypothèses'!$C$16</f>
        <v>0.95</v>
      </c>
      <c r="F124" s="92">
        <f>D124*'1-Hypothèses'!B$5*E124</f>
        <v>42.75</v>
      </c>
      <c r="G124" s="91">
        <v>48</v>
      </c>
      <c r="H124" s="181">
        <f>G124/'1-Hypothèses'!$B$5/'Annexe - Volume'!E124</f>
        <v>10.105263157894736</v>
      </c>
      <c r="I124" s="90">
        <f t="shared" si="18"/>
        <v>1.1228070175438596</v>
      </c>
      <c r="J124" s="92">
        <v>48</v>
      </c>
      <c r="K124" s="181">
        <f>J124/'1-Hypothèses'!B$5/'Annexe - Volume'!E124</f>
        <v>10.105263157894736</v>
      </c>
      <c r="L124" s="90">
        <f t="shared" si="19"/>
        <v>1.1228070175438596</v>
      </c>
      <c r="M124" s="93"/>
      <c r="N124" s="92">
        <v>12</v>
      </c>
      <c r="O124" s="92">
        <v>12</v>
      </c>
      <c r="P124" s="92">
        <f t="shared" si="14"/>
        <v>96</v>
      </c>
      <c r="Q124" s="92">
        <f t="shared" si="15"/>
        <v>96</v>
      </c>
    </row>
    <row r="125" spans="1:17" ht="52" customHeight="1" x14ac:dyDescent="0.3">
      <c r="A125" s="188"/>
      <c r="B125" s="188"/>
      <c r="G125" s="2"/>
      <c r="H125" s="4"/>
    </row>
    <row r="126" spans="1:17" ht="29" customHeight="1" x14ac:dyDescent="0.3">
      <c r="A126" s="124"/>
      <c r="B126" s="124"/>
      <c r="G126" s="2"/>
      <c r="H126" s="4"/>
    </row>
    <row r="127" spans="1:17" x14ac:dyDescent="0.3">
      <c r="A127" s="124"/>
      <c r="B127" s="124"/>
      <c r="G127" s="2"/>
      <c r="H127" s="4"/>
    </row>
    <row r="128" spans="1:17" x14ac:dyDescent="0.3">
      <c r="A128" s="124"/>
      <c r="B128" s="124"/>
      <c r="G128" s="2"/>
    </row>
    <row r="129" spans="1:2" x14ac:dyDescent="0.3">
      <c r="A129" s="124"/>
      <c r="B129" s="124"/>
    </row>
    <row r="130" spans="1:2" x14ac:dyDescent="0.3">
      <c r="A130" s="188"/>
      <c r="B130" s="188"/>
    </row>
    <row r="131" spans="1:2" x14ac:dyDescent="0.3">
      <c r="A131" s="124"/>
      <c r="B131" s="124"/>
    </row>
    <row r="132" spans="1:2" x14ac:dyDescent="0.3">
      <c r="A132" s="124"/>
      <c r="B132" s="124"/>
    </row>
    <row r="133" spans="1:2" x14ac:dyDescent="0.3">
      <c r="A133" s="124"/>
      <c r="B133" s="124"/>
    </row>
    <row r="134" spans="1:2" x14ac:dyDescent="0.3">
      <c r="A134" s="124"/>
      <c r="B134" s="124"/>
    </row>
    <row r="135" spans="1:2" x14ac:dyDescent="0.3">
      <c r="A135" s="124"/>
      <c r="B135" s="124"/>
    </row>
    <row r="136" spans="1:2" x14ac:dyDescent="0.3">
      <c r="A136" s="124"/>
      <c r="B136" s="124"/>
    </row>
    <row r="137" spans="1:2" x14ac:dyDescent="0.3">
      <c r="A137" s="124"/>
      <c r="B137" s="124"/>
    </row>
    <row r="138" spans="1:2" x14ac:dyDescent="0.3">
      <c r="A138" s="124"/>
      <c r="B138" s="124"/>
    </row>
    <row r="139" spans="1:2" x14ac:dyDescent="0.3">
      <c r="A139" s="124"/>
      <c r="B139" s="124"/>
    </row>
    <row r="140" spans="1:2" x14ac:dyDescent="0.3">
      <c r="A140" s="124"/>
      <c r="B140" s="124"/>
    </row>
    <row r="141" spans="1:2" x14ac:dyDescent="0.3">
      <c r="A141" s="124"/>
      <c r="B141" s="124"/>
    </row>
    <row r="142" spans="1:2" x14ac:dyDescent="0.3">
      <c r="A142" s="124"/>
      <c r="B142" s="124"/>
    </row>
    <row r="143" spans="1:2" x14ac:dyDescent="0.3">
      <c r="A143" s="124"/>
      <c r="B143" s="124"/>
    </row>
  </sheetData>
  <mergeCells count="60">
    <mergeCell ref="A77:Q77"/>
    <mergeCell ref="A108:A112"/>
    <mergeCell ref="B16:B17"/>
    <mergeCell ref="A121:A124"/>
    <mergeCell ref="B121:B124"/>
    <mergeCell ref="B65:B67"/>
    <mergeCell ref="A65:A67"/>
    <mergeCell ref="B108:B111"/>
    <mergeCell ref="A113:A115"/>
    <mergeCell ref="B113:B115"/>
    <mergeCell ref="A90:A95"/>
    <mergeCell ref="B90:B95"/>
    <mergeCell ref="A103:A107"/>
    <mergeCell ref="B103:B107"/>
    <mergeCell ref="B96:B102"/>
    <mergeCell ref="A96:A102"/>
    <mergeCell ref="A116:A120"/>
    <mergeCell ref="B116:B120"/>
    <mergeCell ref="B46:B48"/>
    <mergeCell ref="A44:A45"/>
    <mergeCell ref="B44:B45"/>
    <mergeCell ref="B56:B59"/>
    <mergeCell ref="A56:A59"/>
    <mergeCell ref="A51:A55"/>
    <mergeCell ref="B51:B55"/>
    <mergeCell ref="B72:B76"/>
    <mergeCell ref="A72:A76"/>
    <mergeCell ref="B78:B83"/>
    <mergeCell ref="A78:A83"/>
    <mergeCell ref="A84:A89"/>
    <mergeCell ref="B84:B87"/>
    <mergeCell ref="B88:B89"/>
    <mergeCell ref="B68:B71"/>
    <mergeCell ref="A68:A71"/>
    <mergeCell ref="A46:A49"/>
    <mergeCell ref="A20:A21"/>
    <mergeCell ref="B20:B21"/>
    <mergeCell ref="A40:A41"/>
    <mergeCell ref="A60:A64"/>
    <mergeCell ref="B60:B64"/>
    <mergeCell ref="B30:B36"/>
    <mergeCell ref="A30:A36"/>
    <mergeCell ref="B24:B29"/>
    <mergeCell ref="A24:A29"/>
    <mergeCell ref="B37:B39"/>
    <mergeCell ref="A37:A39"/>
    <mergeCell ref="B42:B43"/>
    <mergeCell ref="A42:A43"/>
    <mergeCell ref="B40:B41"/>
    <mergeCell ref="G1:I1"/>
    <mergeCell ref="M1:M2"/>
    <mergeCell ref="J1:L1"/>
    <mergeCell ref="A1:A2"/>
    <mergeCell ref="B4:B7"/>
    <mergeCell ref="A4:A7"/>
    <mergeCell ref="B1:B2"/>
    <mergeCell ref="A8:A11"/>
    <mergeCell ref="B8:B11"/>
    <mergeCell ref="A12:A15"/>
    <mergeCell ref="B12:B15"/>
  </mergeCells>
  <conditionalFormatting sqref="R4:S22">
    <cfRule type="cellIs" dxfId="1" priority="1" operator="lessThan">
      <formula>0</formula>
    </cfRule>
    <cfRule type="cellIs" dxfId="0" priority="2" operator="greaterThan">
      <formula>0</formula>
    </cfRule>
  </conditionalFormatting>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4894-4DEE-4C9D-8F09-104C87CC35B4}">
  <dimension ref="A1:U124"/>
  <sheetViews>
    <sheetView showGridLines="0" topLeftCell="C1" zoomScale="70" zoomScaleNormal="70" workbookViewId="0">
      <pane ySplit="3" topLeftCell="A58" activePane="bottomLeft" state="frozen"/>
      <selection pane="bottomLeft" activeCell="I15" sqref="I15:I65"/>
    </sheetView>
  </sheetViews>
  <sheetFormatPr baseColWidth="10" defaultRowHeight="14" x14ac:dyDescent="0.3"/>
  <cols>
    <col min="1" max="1" width="51.1640625" style="2" customWidth="1"/>
    <col min="2" max="2" width="37.25" style="2" customWidth="1"/>
    <col min="3" max="3" width="42.5" style="2" customWidth="1"/>
    <col min="4" max="5" width="12.33203125" style="2" customWidth="1"/>
    <col min="6" max="6" width="16" style="2" customWidth="1"/>
    <col min="7" max="7" width="44.08203125" style="2" customWidth="1"/>
    <col min="8" max="9" width="16.08203125" style="2" customWidth="1"/>
    <col min="10" max="10" width="19.33203125" customWidth="1"/>
    <col min="11" max="12" width="16.08203125" customWidth="1"/>
    <col min="13" max="13" width="19.75" customWidth="1"/>
    <col min="14" max="14" width="36.5" customWidth="1"/>
    <col min="15" max="18" width="22.6640625" customWidth="1"/>
  </cols>
  <sheetData>
    <row r="1" spans="1:18" ht="33" customHeight="1" x14ac:dyDescent="0.3">
      <c r="A1" s="330" t="s">
        <v>427</v>
      </c>
      <c r="B1" s="335" t="s">
        <v>428</v>
      </c>
      <c r="C1" s="373" t="s">
        <v>157</v>
      </c>
      <c r="D1" s="373" t="s">
        <v>10</v>
      </c>
      <c r="E1" s="373" t="s">
        <v>436</v>
      </c>
      <c r="F1" s="373" t="s">
        <v>1</v>
      </c>
      <c r="G1" s="382" t="s">
        <v>19</v>
      </c>
      <c r="H1" s="386" t="s">
        <v>4</v>
      </c>
      <c r="I1" s="386"/>
      <c r="J1" s="386"/>
      <c r="K1" s="387" t="s">
        <v>6</v>
      </c>
      <c r="L1" s="387"/>
      <c r="M1" s="388"/>
      <c r="N1" s="385" t="s">
        <v>29</v>
      </c>
      <c r="O1" s="16" t="s">
        <v>4</v>
      </c>
      <c r="P1" s="18" t="s">
        <v>6</v>
      </c>
      <c r="Q1" s="16" t="s">
        <v>4</v>
      </c>
      <c r="R1" s="18" t="s">
        <v>6</v>
      </c>
    </row>
    <row r="2" spans="1:18" ht="55.5" customHeight="1" x14ac:dyDescent="0.3">
      <c r="A2" s="331"/>
      <c r="B2" s="336"/>
      <c r="C2" s="374"/>
      <c r="D2" s="374"/>
      <c r="E2" s="374"/>
      <c r="F2" s="374"/>
      <c r="G2" s="383"/>
      <c r="H2" s="7" t="s">
        <v>11</v>
      </c>
      <c r="I2" s="10" t="s">
        <v>40</v>
      </c>
      <c r="J2" s="7" t="s">
        <v>41</v>
      </c>
      <c r="K2" s="8" t="s">
        <v>13</v>
      </c>
      <c r="L2" s="11" t="s">
        <v>40</v>
      </c>
      <c r="M2" s="120" t="s">
        <v>41</v>
      </c>
      <c r="N2" s="385"/>
      <c r="O2" s="7" t="s">
        <v>338</v>
      </c>
      <c r="P2" s="7" t="s">
        <v>338</v>
      </c>
      <c r="Q2" s="204" t="s">
        <v>430</v>
      </c>
      <c r="R2" s="12" t="s">
        <v>429</v>
      </c>
    </row>
    <row r="3" spans="1:18" ht="17.5" customHeight="1" x14ac:dyDescent="0.3">
      <c r="A3" s="367" t="s">
        <v>84</v>
      </c>
      <c r="B3" s="367"/>
      <c r="C3" s="367"/>
      <c r="D3" s="367"/>
      <c r="E3" s="367"/>
      <c r="F3" s="367"/>
      <c r="G3" s="367"/>
      <c r="H3" s="367"/>
      <c r="I3" s="367"/>
      <c r="J3" s="367"/>
      <c r="K3" s="367"/>
      <c r="L3" s="367"/>
      <c r="M3" s="367"/>
      <c r="N3" s="367"/>
      <c r="O3" s="367"/>
      <c r="P3" s="367"/>
      <c r="Q3" s="367"/>
      <c r="R3" s="367"/>
    </row>
    <row r="4" spans="1:18" ht="40" customHeight="1" x14ac:dyDescent="0.3">
      <c r="A4" s="333" t="s">
        <v>37</v>
      </c>
      <c r="B4" s="333" t="s">
        <v>257</v>
      </c>
      <c r="C4" s="218" t="s">
        <v>311</v>
      </c>
      <c r="D4" s="237">
        <v>53</v>
      </c>
      <c r="E4" s="238">
        <v>0.6</v>
      </c>
      <c r="F4" s="239">
        <f>D4*E4*'1-Hypothèses'!B$5</f>
        <v>159</v>
      </c>
      <c r="G4" s="240" t="s">
        <v>256</v>
      </c>
      <c r="H4" s="239">
        <v>208.80000000000004</v>
      </c>
      <c r="I4" s="241">
        <f>H4/E4/'1-Hypothèses'!B$5</f>
        <v>69.600000000000009</v>
      </c>
      <c r="J4" s="238">
        <f>I4/D4</f>
        <v>1.3132075471698115</v>
      </c>
      <c r="K4" s="242">
        <v>365.40000000000003</v>
      </c>
      <c r="L4" s="243">
        <f>K4/E4/'1-Hypothèses'!B$5</f>
        <v>121.80000000000003</v>
      </c>
      <c r="M4" s="244">
        <f>L4/D4</f>
        <v>2.2981132075471704</v>
      </c>
      <c r="N4" s="218"/>
      <c r="O4" s="23">
        <v>584.63999999999987</v>
      </c>
      <c r="P4" s="23">
        <v>1023.1199999999999</v>
      </c>
      <c r="Q4" s="23">
        <f>I4*10*E4</f>
        <v>417.60000000000008</v>
      </c>
      <c r="R4" s="23">
        <f>L4*10*E4</f>
        <v>730.80000000000007</v>
      </c>
    </row>
    <row r="5" spans="1:18" ht="40" customHeight="1" x14ac:dyDescent="0.3">
      <c r="A5" s="334"/>
      <c r="B5" s="334"/>
      <c r="C5" s="75" t="s">
        <v>312</v>
      </c>
      <c r="D5" s="194">
        <v>65</v>
      </c>
      <c r="E5" s="191">
        <v>0.49</v>
      </c>
      <c r="F5" s="79">
        <f>D5*E5*'1-Hypothèses'!B$5</f>
        <v>159.25</v>
      </c>
      <c r="G5" s="82" t="s">
        <v>256</v>
      </c>
      <c r="H5" s="79">
        <v>208.80000000000004</v>
      </c>
      <c r="I5" s="190">
        <f>H5/E5/'1-Hypothèses'!B$5</f>
        <v>85.224489795918387</v>
      </c>
      <c r="J5" s="191">
        <f>I5/D5</f>
        <v>1.311145996860283</v>
      </c>
      <c r="K5" s="195">
        <v>365.40000000000003</v>
      </c>
      <c r="L5" s="196">
        <f>K5/E5/'1-Hypothèses'!B$5</f>
        <v>149.14285714285717</v>
      </c>
      <c r="M5" s="121">
        <f>L5/D5</f>
        <v>2.2945054945054948</v>
      </c>
      <c r="N5" s="75"/>
      <c r="O5" s="23">
        <v>584.63999999999987</v>
      </c>
      <c r="P5" s="23">
        <v>1023.1199999999999</v>
      </c>
      <c r="Q5" s="23">
        <f t="shared" ref="Q5:Q13" si="0">I5*10*E5</f>
        <v>417.60000000000008</v>
      </c>
      <c r="R5" s="23">
        <f t="shared" ref="R5:R13" si="1">L5*10*E5</f>
        <v>730.80000000000007</v>
      </c>
    </row>
    <row r="6" spans="1:18" ht="40" customHeight="1" x14ac:dyDescent="0.3">
      <c r="A6" s="337" t="s">
        <v>38</v>
      </c>
      <c r="B6" s="337" t="s">
        <v>257</v>
      </c>
      <c r="C6" s="7" t="s">
        <v>314</v>
      </c>
      <c r="D6" s="30">
        <v>519</v>
      </c>
      <c r="E6" s="43">
        <v>0.49</v>
      </c>
      <c r="F6" s="30">
        <f>D6*E6*'1-Hypothèses'!B$5</f>
        <v>1271.55</v>
      </c>
      <c r="G6" s="10" t="s">
        <v>256</v>
      </c>
      <c r="H6" s="30">
        <v>113.17479336734687</v>
      </c>
      <c r="I6" s="46">
        <f>H6/E6/'1-Hypothèses'!B$5</f>
        <v>46.193793211161989</v>
      </c>
      <c r="J6" s="44">
        <f t="shared" ref="J6:J13" si="2">I6/D6</f>
        <v>8.9005381909753351E-2</v>
      </c>
      <c r="K6" s="45">
        <v>168.53808673469393</v>
      </c>
      <c r="L6" s="197">
        <f>K6/E6/'1-Hypothèses'!B$5</f>
        <v>68.791055810079158</v>
      </c>
      <c r="M6" s="135">
        <f t="shared" ref="M6:M13" si="3">L6/D6</f>
        <v>0.13254538691730089</v>
      </c>
      <c r="N6" s="41"/>
      <c r="O6" s="23">
        <v>12.063393367347004</v>
      </c>
      <c r="P6" s="23">
        <v>1481.7282933673466</v>
      </c>
      <c r="Q6" s="23">
        <f t="shared" si="0"/>
        <v>226.34958673469373</v>
      </c>
      <c r="R6" s="23">
        <f t="shared" si="1"/>
        <v>337.07617346938787</v>
      </c>
    </row>
    <row r="7" spans="1:18" ht="40" customHeight="1" x14ac:dyDescent="0.3">
      <c r="A7" s="339"/>
      <c r="B7" s="339"/>
      <c r="C7" s="7" t="s">
        <v>315</v>
      </c>
      <c r="D7" s="30">
        <v>666</v>
      </c>
      <c r="E7" s="43">
        <v>0.49</v>
      </c>
      <c r="F7" s="30">
        <f>D7*E7*'1-Hypothèses'!B$5</f>
        <v>1631.6999999999998</v>
      </c>
      <c r="G7" s="10" t="s">
        <v>256</v>
      </c>
      <c r="H7" s="30">
        <v>113.17479336734687</v>
      </c>
      <c r="I7" s="46">
        <f>H7/E7/'1-Hypothèses'!B$5</f>
        <v>46.193793211161989</v>
      </c>
      <c r="J7" s="44">
        <f t="shared" si="2"/>
        <v>6.9360049866609597E-2</v>
      </c>
      <c r="K7" s="45">
        <v>168.53808673469393</v>
      </c>
      <c r="L7" s="197">
        <f>K7/E7/'1-Hypothèses'!B$5</f>
        <v>68.791055810079158</v>
      </c>
      <c r="M7" s="135">
        <f t="shared" si="3"/>
        <v>0.10328987358870745</v>
      </c>
      <c r="N7" s="41"/>
      <c r="O7" s="23">
        <v>12.063393367347004</v>
      </c>
      <c r="P7" s="23">
        <v>1481.7282933673466</v>
      </c>
      <c r="Q7" s="23">
        <f t="shared" si="0"/>
        <v>226.34958673469373</v>
      </c>
      <c r="R7" s="23">
        <f t="shared" si="1"/>
        <v>337.07617346938787</v>
      </c>
    </row>
    <row r="8" spans="1:18" ht="40" customHeight="1" x14ac:dyDescent="0.3">
      <c r="A8" s="332" t="s">
        <v>39</v>
      </c>
      <c r="B8" s="332" t="s">
        <v>318</v>
      </c>
      <c r="C8" s="75" t="s">
        <v>316</v>
      </c>
      <c r="D8" s="75">
        <v>33</v>
      </c>
      <c r="E8" s="191">
        <f>AVERAGE(0.57,0.48)</f>
        <v>0.52499999999999991</v>
      </c>
      <c r="F8" s="79">
        <f>D8*E8*'1-Hypothèses'!B$5</f>
        <v>86.624999999999972</v>
      </c>
      <c r="G8" s="82" t="s">
        <v>256</v>
      </c>
      <c r="H8" s="79">
        <v>5.4108000000000001</v>
      </c>
      <c r="I8" s="190">
        <f>H8/E8/'1-Hypothèses'!B$5</f>
        <v>2.0612571428571433</v>
      </c>
      <c r="J8" s="191">
        <f t="shared" si="2"/>
        <v>6.2462337662337677E-2</v>
      </c>
      <c r="K8" s="78">
        <v>10.8216</v>
      </c>
      <c r="L8" s="196">
        <f>K8/E8/'1-Hypothèses'!B$5</f>
        <v>4.1225142857142867</v>
      </c>
      <c r="M8" s="121">
        <f t="shared" si="3"/>
        <v>0.12492467532467535</v>
      </c>
      <c r="N8" s="76"/>
      <c r="O8" s="23">
        <v>5.4108000000000001</v>
      </c>
      <c r="P8" s="23">
        <v>5.4107999999999983</v>
      </c>
      <c r="Q8" s="23">
        <f t="shared" si="0"/>
        <v>10.821600000000002</v>
      </c>
      <c r="R8" s="23">
        <f t="shared" si="1"/>
        <v>21.643200000000004</v>
      </c>
    </row>
    <row r="9" spans="1:18" ht="40" customHeight="1" x14ac:dyDescent="0.3">
      <c r="A9" s="334"/>
      <c r="B9" s="334"/>
      <c r="C9" s="75" t="s">
        <v>317</v>
      </c>
      <c r="D9" s="75">
        <v>3</v>
      </c>
      <c r="E9" s="191">
        <f>AVERAGE(0.38,0.47)</f>
        <v>0.42499999999999999</v>
      </c>
      <c r="F9" s="79">
        <f>D9*E9*'1-Hypothèses'!B$5</f>
        <v>6.375</v>
      </c>
      <c r="G9" s="82" t="s">
        <v>256</v>
      </c>
      <c r="H9" s="79">
        <v>5.4108000000000001</v>
      </c>
      <c r="I9" s="190">
        <f>H9/E9/'1-Hypothèses'!B$5</f>
        <v>2.5462588235294117</v>
      </c>
      <c r="J9" s="191">
        <f t="shared" si="2"/>
        <v>0.8487529411764706</v>
      </c>
      <c r="K9" s="78">
        <v>10.8216</v>
      </c>
      <c r="L9" s="196">
        <f>K9/E9/'1-Hypothèses'!B$5</f>
        <v>5.0925176470588234</v>
      </c>
      <c r="M9" s="121">
        <f t="shared" si="3"/>
        <v>1.6975058823529412</v>
      </c>
      <c r="N9" s="76"/>
      <c r="O9" s="23">
        <v>5.4108000000000001</v>
      </c>
      <c r="P9" s="23">
        <v>5.4107999999999983</v>
      </c>
      <c r="Q9" s="23">
        <f t="shared" si="0"/>
        <v>10.8216</v>
      </c>
      <c r="R9" s="23">
        <f t="shared" si="1"/>
        <v>21.6432</v>
      </c>
    </row>
    <row r="10" spans="1:18" ht="40" customHeight="1" x14ac:dyDescent="0.3">
      <c r="A10" s="337" t="s">
        <v>320</v>
      </c>
      <c r="B10" s="337" t="s">
        <v>319</v>
      </c>
      <c r="C10" s="7" t="s">
        <v>7</v>
      </c>
      <c r="D10" s="7">
        <v>48</v>
      </c>
      <c r="E10" s="43">
        <f>'1-Hypothèses'!C11</f>
        <v>0.54</v>
      </c>
      <c r="F10" s="30">
        <f>D10*E10*'1-Hypothèses'!B$5</f>
        <v>129.60000000000002</v>
      </c>
      <c r="G10" s="10" t="s">
        <v>256</v>
      </c>
      <c r="H10" s="30">
        <v>16.758000000000003</v>
      </c>
      <c r="I10" s="46">
        <f>H10/E10/'1-Hypothèses'!B$5</f>
        <v>6.206666666666667</v>
      </c>
      <c r="J10" s="44">
        <f t="shared" si="2"/>
        <v>0.12930555555555556</v>
      </c>
      <c r="K10" s="45">
        <v>76.590130909090917</v>
      </c>
      <c r="L10" s="197">
        <f>K10/E10/'1-Hypothèses'!B$5</f>
        <v>28.366715151515155</v>
      </c>
      <c r="M10" s="135">
        <f t="shared" si="3"/>
        <v>0.5909732323232324</v>
      </c>
      <c r="N10" s="41"/>
      <c r="O10" s="23">
        <v>78.679898181818174</v>
      </c>
      <c r="P10" s="23">
        <v>246.2098647272727</v>
      </c>
      <c r="Q10" s="23">
        <f t="shared" si="0"/>
        <v>33.516000000000005</v>
      </c>
      <c r="R10" s="23">
        <f t="shared" si="1"/>
        <v>153.18026181818183</v>
      </c>
    </row>
    <row r="11" spans="1:18" ht="40" customHeight="1" x14ac:dyDescent="0.3">
      <c r="A11" s="338"/>
      <c r="B11" s="338"/>
      <c r="C11" s="7" t="s">
        <v>2</v>
      </c>
      <c r="D11" s="7">
        <v>400</v>
      </c>
      <c r="E11" s="43">
        <f>'1-Hypothèses'!C11</f>
        <v>0.54</v>
      </c>
      <c r="F11" s="30">
        <f>D11*E11*'1-Hypothèses'!B$5</f>
        <v>1080</v>
      </c>
      <c r="G11" s="10" t="s">
        <v>256</v>
      </c>
      <c r="H11" s="30">
        <v>16.758000000000003</v>
      </c>
      <c r="I11" s="46">
        <f>H11/E11/'1-Hypothèses'!B$5</f>
        <v>6.206666666666667</v>
      </c>
      <c r="J11" s="44">
        <f t="shared" si="2"/>
        <v>1.5516666666666668E-2</v>
      </c>
      <c r="K11" s="45">
        <v>76.590130909090917</v>
      </c>
      <c r="L11" s="197">
        <f>K11/E11/'1-Hypothèses'!B$5</f>
        <v>28.366715151515155</v>
      </c>
      <c r="M11" s="135">
        <f t="shared" si="3"/>
        <v>7.0916787878787885E-2</v>
      </c>
      <c r="N11" s="7"/>
      <c r="O11" s="23">
        <v>78.679898181818174</v>
      </c>
      <c r="P11" s="23">
        <v>246.2098647272727</v>
      </c>
      <c r="Q11" s="23">
        <f t="shared" si="0"/>
        <v>33.516000000000005</v>
      </c>
      <c r="R11" s="23">
        <f t="shared" si="1"/>
        <v>153.18026181818183</v>
      </c>
    </row>
    <row r="12" spans="1:18" ht="40" customHeight="1" x14ac:dyDescent="0.3">
      <c r="A12" s="339"/>
      <c r="B12" s="339"/>
      <c r="C12" s="7" t="s">
        <v>321</v>
      </c>
      <c r="D12" s="7">
        <v>611</v>
      </c>
      <c r="E12" s="43">
        <f>AVERAGE(0.56,0.4)</f>
        <v>0.48000000000000004</v>
      </c>
      <c r="F12" s="30">
        <f>D12*E12*'1-Hypothèses'!B$5</f>
        <v>1466.4</v>
      </c>
      <c r="G12" s="10" t="s">
        <v>256</v>
      </c>
      <c r="H12" s="30">
        <v>16.758000000000003</v>
      </c>
      <c r="I12" s="46">
        <f>H12/E12/'1-Hypothèses'!B$5</f>
        <v>6.9824999999999999</v>
      </c>
      <c r="J12" s="44">
        <f t="shared" si="2"/>
        <v>1.142798690671031E-2</v>
      </c>
      <c r="K12" s="45">
        <v>76.590130909090917</v>
      </c>
      <c r="L12" s="197">
        <f>K12/E12/'1-Hypothèses'!B$5</f>
        <v>31.912554545454547</v>
      </c>
      <c r="M12" s="135">
        <f t="shared" si="3"/>
        <v>5.2230040172593369E-2</v>
      </c>
      <c r="N12" s="7"/>
      <c r="O12" s="23">
        <v>78.679898181818174</v>
      </c>
      <c r="P12" s="23">
        <v>246.2098647272727</v>
      </c>
      <c r="Q12" s="23">
        <f t="shared" si="0"/>
        <v>33.516000000000005</v>
      </c>
      <c r="R12" s="23">
        <f t="shared" si="1"/>
        <v>153.18026181818183</v>
      </c>
    </row>
    <row r="13" spans="1:18" ht="39" customHeight="1" x14ac:dyDescent="0.3">
      <c r="A13" s="219" t="s">
        <v>358</v>
      </c>
      <c r="B13" s="219" t="s">
        <v>322</v>
      </c>
      <c r="C13" s="219" t="s">
        <v>2</v>
      </c>
      <c r="D13" s="219">
        <v>400</v>
      </c>
      <c r="E13" s="245">
        <f>'1-Hypothèses'!C11</f>
        <v>0.54</v>
      </c>
      <c r="F13" s="246">
        <f>D13*E13*'1-Hypothèses'!B$5</f>
        <v>1080</v>
      </c>
      <c r="G13" s="133" t="s">
        <v>216</v>
      </c>
      <c r="H13" s="246">
        <v>12.611261291377492</v>
      </c>
      <c r="I13" s="247">
        <f>H13/E13/'1-Hypothèses'!B$5</f>
        <v>4.6708375153249966</v>
      </c>
      <c r="J13" s="248">
        <f t="shared" si="2"/>
        <v>1.1677093788312491E-2</v>
      </c>
      <c r="K13" s="253">
        <v>22.032512663057304</v>
      </c>
      <c r="L13" s="141">
        <f>K13/E13/'1-Hypothèses'!B$5</f>
        <v>8.1601898752064095</v>
      </c>
      <c r="M13" s="249">
        <f t="shared" si="3"/>
        <v>2.0400474688016024E-2</v>
      </c>
      <c r="N13" s="115"/>
      <c r="O13" s="23">
        <v>18.801479491297552</v>
      </c>
      <c r="P13" s="23">
        <v>54.197164566694539</v>
      </c>
      <c r="Q13" s="23">
        <f t="shared" si="0"/>
        <v>25.222522582754983</v>
      </c>
      <c r="R13" s="23">
        <f t="shared" si="1"/>
        <v>44.065025326114615</v>
      </c>
    </row>
    <row r="14" spans="1:18" ht="18" customHeight="1" x14ac:dyDescent="0.3">
      <c r="A14" s="389" t="s">
        <v>87</v>
      </c>
      <c r="B14" s="389"/>
      <c r="C14" s="389"/>
      <c r="D14" s="389"/>
      <c r="E14" s="389"/>
      <c r="F14" s="389"/>
      <c r="G14" s="389"/>
      <c r="H14" s="389"/>
      <c r="I14" s="389"/>
      <c r="J14" s="389"/>
      <c r="K14" s="389"/>
      <c r="L14" s="389"/>
      <c r="M14" s="389"/>
      <c r="N14" s="389"/>
      <c r="O14" s="389"/>
      <c r="P14" s="389"/>
      <c r="Q14" s="389"/>
      <c r="R14" s="389"/>
    </row>
    <row r="15" spans="1:18" ht="35" customHeight="1" x14ac:dyDescent="0.3">
      <c r="A15" s="338" t="s">
        <v>37</v>
      </c>
      <c r="B15" s="338" t="s">
        <v>257</v>
      </c>
      <c r="C15" s="42" t="s">
        <v>54</v>
      </c>
      <c r="D15" s="38">
        <v>4</v>
      </c>
      <c r="E15" s="80">
        <f>AVERAGE(0.7,0.78)</f>
        <v>0.74</v>
      </c>
      <c r="F15" s="42">
        <f>D15*E15*'1-Hypothèses'!B$5</f>
        <v>14.8</v>
      </c>
      <c r="G15" s="250" t="s">
        <v>256</v>
      </c>
      <c r="H15" s="251">
        <v>23.200000000000003</v>
      </c>
      <c r="I15" s="252">
        <f>H15/E15/'1-Hypothèses'!B$5</f>
        <v>6.2702702702702711</v>
      </c>
      <c r="J15" s="80">
        <f>I15/D15</f>
        <v>1.5675675675675678</v>
      </c>
      <c r="K15" s="81">
        <v>40.6</v>
      </c>
      <c r="L15" s="210">
        <f>K15/E15/'1-Hypothèses'!B$5</f>
        <v>10.972972972972974</v>
      </c>
      <c r="M15" s="262">
        <f>L15/D15</f>
        <v>2.7432432432432434</v>
      </c>
      <c r="N15" s="176"/>
      <c r="O15" s="45">
        <v>64.959999999999994</v>
      </c>
      <c r="P15" s="45">
        <v>113.68</v>
      </c>
      <c r="Q15" s="45">
        <f>I15*10*E15</f>
        <v>46.400000000000006</v>
      </c>
      <c r="R15" s="45">
        <f>L15*10*E15</f>
        <v>81.2</v>
      </c>
    </row>
    <row r="16" spans="1:18" ht="45" customHeight="1" x14ac:dyDescent="0.3">
      <c r="A16" s="338"/>
      <c r="B16" s="338"/>
      <c r="C16" s="7" t="s">
        <v>55</v>
      </c>
      <c r="D16" s="41">
        <v>58</v>
      </c>
      <c r="E16" s="39">
        <f>'1-Hypothèses'!C12</f>
        <v>0.64</v>
      </c>
      <c r="F16" s="30">
        <f>D16*E16*'1-Hypothèses'!B$5</f>
        <v>185.6</v>
      </c>
      <c r="G16" s="10" t="s">
        <v>256</v>
      </c>
      <c r="H16" s="30">
        <v>23.200000000000003</v>
      </c>
      <c r="I16" s="46">
        <f>H16/E16/'1-Hypothèses'!B$5</f>
        <v>7.2500000000000018</v>
      </c>
      <c r="J16" s="39">
        <f>I16/D16</f>
        <v>0.12500000000000003</v>
      </c>
      <c r="K16" s="45">
        <v>40.6</v>
      </c>
      <c r="L16" s="48">
        <f>K16/E16/'1-Hypothèses'!B$5</f>
        <v>12.6875</v>
      </c>
      <c r="M16" s="135">
        <f>L16/D16</f>
        <v>0.21875</v>
      </c>
      <c r="N16" s="41"/>
      <c r="O16" s="45">
        <v>64.959999999999994</v>
      </c>
      <c r="P16" s="45">
        <v>113.68</v>
      </c>
      <c r="Q16" s="45">
        <f t="shared" ref="Q16:Q63" si="4">I16*10*E16</f>
        <v>46.400000000000013</v>
      </c>
      <c r="R16" s="45">
        <f t="shared" ref="R16:R63" si="5">L16*10*E16</f>
        <v>81.2</v>
      </c>
    </row>
    <row r="17" spans="1:21" ht="43.5" customHeight="1" x14ac:dyDescent="0.3">
      <c r="A17" s="338"/>
      <c r="B17" s="338"/>
      <c r="C17" s="66" t="s">
        <v>88</v>
      </c>
      <c r="D17" s="7" t="s">
        <v>365</v>
      </c>
      <c r="E17" s="84">
        <f>'1-Hypothèses'!C14</f>
        <v>0.9</v>
      </c>
      <c r="F17" s="7" t="s">
        <v>365</v>
      </c>
      <c r="G17" s="10" t="s">
        <v>256</v>
      </c>
      <c r="H17" s="30">
        <v>23.200000000000003</v>
      </c>
      <c r="I17" s="46">
        <f>H17/E17/'1-Hypothèses'!B$5</f>
        <v>5.1555555555555559</v>
      </c>
      <c r="J17" s="7" t="s">
        <v>365</v>
      </c>
      <c r="K17" s="45">
        <v>40.6</v>
      </c>
      <c r="L17" s="48">
        <f>K17/E17/'1-Hypothèses'!B$5</f>
        <v>9.0222222222222221</v>
      </c>
      <c r="M17" s="7" t="s">
        <v>365</v>
      </c>
      <c r="N17" s="41" t="s">
        <v>438</v>
      </c>
      <c r="O17" s="45">
        <v>64.959999999999994</v>
      </c>
      <c r="P17" s="45">
        <v>113.68</v>
      </c>
      <c r="Q17" s="45">
        <f t="shared" si="4"/>
        <v>46.400000000000006</v>
      </c>
      <c r="R17" s="45">
        <f t="shared" si="5"/>
        <v>81.2</v>
      </c>
    </row>
    <row r="18" spans="1:21" ht="35" customHeight="1" x14ac:dyDescent="0.3">
      <c r="A18" s="339"/>
      <c r="B18" s="339"/>
      <c r="C18" s="66" t="s">
        <v>89</v>
      </c>
      <c r="D18" s="7" t="s">
        <v>365</v>
      </c>
      <c r="E18" s="84">
        <f>'1-Hypothèses'!C14</f>
        <v>0.9</v>
      </c>
      <c r="F18" s="7" t="s">
        <v>365</v>
      </c>
      <c r="G18" s="10" t="s">
        <v>256</v>
      </c>
      <c r="H18" s="30">
        <v>23.200000000000003</v>
      </c>
      <c r="I18" s="46">
        <f>H18/E18/'1-Hypothèses'!B$5</f>
        <v>5.1555555555555559</v>
      </c>
      <c r="J18" s="7" t="s">
        <v>365</v>
      </c>
      <c r="K18" s="45">
        <v>40.6</v>
      </c>
      <c r="L18" s="48">
        <f>K18/E18/'1-Hypothèses'!B$5</f>
        <v>9.0222222222222221</v>
      </c>
      <c r="M18" s="7" t="s">
        <v>365</v>
      </c>
      <c r="N18" s="41"/>
      <c r="O18" s="45">
        <v>64.959999999999994</v>
      </c>
      <c r="P18" s="45">
        <v>113.68</v>
      </c>
      <c r="Q18" s="45">
        <f t="shared" si="4"/>
        <v>46.400000000000006</v>
      </c>
      <c r="R18" s="45">
        <f t="shared" si="5"/>
        <v>81.2</v>
      </c>
    </row>
    <row r="19" spans="1:21" ht="35" customHeight="1" x14ac:dyDescent="0.3">
      <c r="A19" s="332" t="s">
        <v>38</v>
      </c>
      <c r="B19" s="332" t="s">
        <v>258</v>
      </c>
      <c r="C19" s="75" t="s">
        <v>49</v>
      </c>
      <c r="D19" s="97" t="s">
        <v>365</v>
      </c>
      <c r="E19" s="77">
        <f>'1-Hypothèses'!C14</f>
        <v>0.9</v>
      </c>
      <c r="F19" s="97" t="s">
        <v>365</v>
      </c>
      <c r="G19" s="82" t="s">
        <v>256</v>
      </c>
      <c r="H19" s="79">
        <v>12.57497704081632</v>
      </c>
      <c r="I19" s="190">
        <f>H19/E19/'1-Hypothèses'!B$5</f>
        <v>2.7944393424036265</v>
      </c>
      <c r="J19" s="97" t="s">
        <v>365</v>
      </c>
      <c r="K19" s="78">
        <v>18.72645408163266</v>
      </c>
      <c r="L19" s="101">
        <f>K19/E19/'1-Hypothèses'!B$5</f>
        <v>4.161434240362814</v>
      </c>
      <c r="M19" s="97" t="s">
        <v>365</v>
      </c>
      <c r="N19" s="76"/>
      <c r="O19" s="78">
        <v>1.3403770408163318</v>
      </c>
      <c r="P19" s="78">
        <v>164.63647704081629</v>
      </c>
      <c r="Q19" s="78">
        <f t="shared" si="4"/>
        <v>25.149954081632639</v>
      </c>
      <c r="R19" s="78">
        <f t="shared" si="5"/>
        <v>37.452908163265327</v>
      </c>
    </row>
    <row r="20" spans="1:21" ht="35" customHeight="1" x14ac:dyDescent="0.3">
      <c r="A20" s="333"/>
      <c r="B20" s="333"/>
      <c r="C20" s="75" t="s">
        <v>51</v>
      </c>
      <c r="D20" s="97" t="s">
        <v>365</v>
      </c>
      <c r="E20" s="211">
        <v>1</v>
      </c>
      <c r="F20" s="97" t="s">
        <v>365</v>
      </c>
      <c r="G20" s="82" t="s">
        <v>256</v>
      </c>
      <c r="H20" s="79">
        <v>12.57497704081632</v>
      </c>
      <c r="I20" s="190">
        <f>H20/E20/'1-Hypothèses'!B$5</f>
        <v>2.5149954081632639</v>
      </c>
      <c r="J20" s="97" t="s">
        <v>365</v>
      </c>
      <c r="K20" s="78">
        <v>18.72645408163266</v>
      </c>
      <c r="L20" s="101">
        <f>K20/E20/'1-Hypothèses'!B$5</f>
        <v>3.7452908163265319</v>
      </c>
      <c r="M20" s="97" t="s">
        <v>365</v>
      </c>
      <c r="N20" s="76"/>
      <c r="O20" s="78">
        <v>1.3403770408163318</v>
      </c>
      <c r="P20" s="78">
        <v>164.63647704081629</v>
      </c>
      <c r="Q20" s="78">
        <f t="shared" si="4"/>
        <v>25.149954081632639</v>
      </c>
      <c r="R20" s="78">
        <f t="shared" si="5"/>
        <v>37.45290816326532</v>
      </c>
    </row>
    <row r="21" spans="1:21" ht="35" customHeight="1" x14ac:dyDescent="0.3">
      <c r="A21" s="333"/>
      <c r="B21" s="333"/>
      <c r="C21" s="75" t="s">
        <v>52</v>
      </c>
      <c r="D21" s="97" t="s">
        <v>365</v>
      </c>
      <c r="E21" s="77">
        <v>1</v>
      </c>
      <c r="F21" s="97" t="s">
        <v>365</v>
      </c>
      <c r="G21" s="82" t="s">
        <v>256</v>
      </c>
      <c r="H21" s="79">
        <v>12.57497704081632</v>
      </c>
      <c r="I21" s="190">
        <f>H21/E21/'1-Hypothèses'!B$5</f>
        <v>2.5149954081632639</v>
      </c>
      <c r="J21" s="97" t="s">
        <v>365</v>
      </c>
      <c r="K21" s="78">
        <v>18.72645408163266</v>
      </c>
      <c r="L21" s="101">
        <f>K21/E21/'1-Hypothèses'!B$5</f>
        <v>3.7452908163265319</v>
      </c>
      <c r="M21" s="97" t="s">
        <v>365</v>
      </c>
      <c r="N21" s="76"/>
      <c r="O21" s="78">
        <v>1.3403770408163318</v>
      </c>
      <c r="P21" s="78">
        <v>164.63647704081629</v>
      </c>
      <c r="Q21" s="78">
        <f t="shared" si="4"/>
        <v>25.149954081632639</v>
      </c>
      <c r="R21" s="78">
        <f t="shared" si="5"/>
        <v>37.45290816326532</v>
      </c>
    </row>
    <row r="22" spans="1:21" ht="35" customHeight="1" x14ac:dyDescent="0.3">
      <c r="A22" s="333"/>
      <c r="B22" s="333"/>
      <c r="C22" s="75" t="s">
        <v>53</v>
      </c>
      <c r="D22" s="76">
        <v>139</v>
      </c>
      <c r="E22" s="77">
        <f>AVERAGE(0.66,0.79)</f>
        <v>0.72500000000000009</v>
      </c>
      <c r="F22" s="79">
        <f>D22*E22*'1-Hypothèses'!B$5</f>
        <v>503.875</v>
      </c>
      <c r="G22" s="82" t="s">
        <v>256</v>
      </c>
      <c r="H22" s="79">
        <v>12.57497704081632</v>
      </c>
      <c r="I22" s="190">
        <f>H22/E22/'1-Hypothèses'!B$5</f>
        <v>3.468959183673467</v>
      </c>
      <c r="J22" s="77">
        <f t="shared" ref="J22:J47" si="6">I22/D22</f>
        <v>2.4956540889737172E-2</v>
      </c>
      <c r="K22" s="78">
        <v>18.72645408163266</v>
      </c>
      <c r="L22" s="101">
        <f>K22/E22/'1-Hypothèses'!B$5</f>
        <v>5.16591836734694</v>
      </c>
      <c r="M22" s="121">
        <f t="shared" ref="M22:M24" si="7">L22/D22</f>
        <v>3.716488034062547E-2</v>
      </c>
      <c r="N22" s="76"/>
      <c r="O22" s="78">
        <v>1.3403770408163318</v>
      </c>
      <c r="P22" s="78">
        <v>164.63647704081629</v>
      </c>
      <c r="Q22" s="78">
        <f t="shared" si="4"/>
        <v>25.149954081632639</v>
      </c>
      <c r="R22" s="78">
        <f t="shared" si="5"/>
        <v>37.45290816326532</v>
      </c>
    </row>
    <row r="23" spans="1:21" ht="35" customHeight="1" x14ac:dyDescent="0.3">
      <c r="A23" s="333"/>
      <c r="B23" s="333"/>
      <c r="C23" s="75" t="s">
        <v>55</v>
      </c>
      <c r="D23" s="76">
        <v>58</v>
      </c>
      <c r="E23" s="77">
        <f>'1-Hypothèses'!C12</f>
        <v>0.64</v>
      </c>
      <c r="F23" s="79">
        <f>D23*E23*'1-Hypothèses'!B$5</f>
        <v>185.6</v>
      </c>
      <c r="G23" s="82" t="s">
        <v>256</v>
      </c>
      <c r="H23" s="79">
        <v>12.57497704081632</v>
      </c>
      <c r="I23" s="190">
        <f>H23/E23/'1-Hypothèses'!B$5</f>
        <v>3.9296803252551</v>
      </c>
      <c r="J23" s="77">
        <f t="shared" si="6"/>
        <v>6.7753109056122418E-2</v>
      </c>
      <c r="K23" s="78">
        <v>18.72645408163266</v>
      </c>
      <c r="L23" s="101">
        <f>K23/E23/'1-Hypothèses'!B$5</f>
        <v>5.8520169005102058</v>
      </c>
      <c r="M23" s="121">
        <f t="shared" si="7"/>
        <v>0.10089684311224492</v>
      </c>
      <c r="N23" s="76"/>
      <c r="O23" s="78">
        <v>1.3403770408163318</v>
      </c>
      <c r="P23" s="78">
        <v>164.63647704081629</v>
      </c>
      <c r="Q23" s="78">
        <f t="shared" si="4"/>
        <v>25.149954081632643</v>
      </c>
      <c r="R23" s="78">
        <f t="shared" si="5"/>
        <v>37.45290816326532</v>
      </c>
    </row>
    <row r="24" spans="1:21" ht="38" customHeight="1" x14ac:dyDescent="0.3">
      <c r="A24" s="337" t="s">
        <v>39</v>
      </c>
      <c r="B24" s="337" t="s">
        <v>257</v>
      </c>
      <c r="C24" s="7" t="s">
        <v>55</v>
      </c>
      <c r="D24" s="41">
        <v>58</v>
      </c>
      <c r="E24" s="39">
        <f>'1-Hypothèses'!C12</f>
        <v>0.64</v>
      </c>
      <c r="F24" s="30">
        <f>D24*E24*'1-Hypothèses'!B$5</f>
        <v>185.6</v>
      </c>
      <c r="G24" s="40" t="s">
        <v>256</v>
      </c>
      <c r="H24" s="30">
        <v>0.60119999999999996</v>
      </c>
      <c r="I24" s="46">
        <f>H24/E24/'1-Hypothèses'!B$5</f>
        <v>0.18787499999999999</v>
      </c>
      <c r="J24" s="39">
        <f t="shared" si="6"/>
        <v>3.2392241379310344E-3</v>
      </c>
      <c r="K24" s="45">
        <v>1.2023999999999999</v>
      </c>
      <c r="L24" s="48">
        <f>K24/E24/'1-Hypothèses'!B$5</f>
        <v>0.37574999999999997</v>
      </c>
      <c r="M24" s="135">
        <f t="shared" si="7"/>
        <v>6.4784482758620688E-3</v>
      </c>
      <c r="N24" s="41"/>
      <c r="O24" s="45">
        <v>0.60119999999999996</v>
      </c>
      <c r="P24" s="45">
        <v>0.60119999999999996</v>
      </c>
      <c r="Q24" s="45">
        <f t="shared" si="4"/>
        <v>1.2023999999999999</v>
      </c>
      <c r="R24" s="45">
        <f t="shared" si="5"/>
        <v>2.4047999999999998</v>
      </c>
    </row>
    <row r="25" spans="1:21" ht="43.5" customHeight="1" x14ac:dyDescent="0.3">
      <c r="A25" s="338"/>
      <c r="B25" s="338"/>
      <c r="C25" s="7" t="s">
        <v>90</v>
      </c>
      <c r="D25" s="7">
        <v>9</v>
      </c>
      <c r="E25" s="43">
        <v>0.84</v>
      </c>
      <c r="F25" s="30">
        <f>D25*E25*'1-Hypothèses'!B$5</f>
        <v>37.799999999999997</v>
      </c>
      <c r="G25" s="40" t="s">
        <v>256</v>
      </c>
      <c r="H25" s="30">
        <v>0.60119999999999996</v>
      </c>
      <c r="I25" s="46">
        <f>H25/E25/'1-Hypothèses'!B$5</f>
        <v>0.14314285714285713</v>
      </c>
      <c r="J25" s="39">
        <f t="shared" si="6"/>
        <v>1.5904761904761904E-2</v>
      </c>
      <c r="K25" s="45">
        <v>1.2023999999999999</v>
      </c>
      <c r="L25" s="48">
        <f>K25/E25/'1-Hypothèses'!B$5</f>
        <v>0.28628571428571425</v>
      </c>
      <c r="M25" s="135">
        <f>L25/D25</f>
        <v>3.1809523809523808E-2</v>
      </c>
      <c r="N25" s="41"/>
      <c r="O25" s="45">
        <v>0.60119999999999996</v>
      </c>
      <c r="P25" s="45">
        <v>0.60119999999999996</v>
      </c>
      <c r="Q25" s="45">
        <f t="shared" si="4"/>
        <v>1.2023999999999999</v>
      </c>
      <c r="R25" s="45">
        <f t="shared" si="5"/>
        <v>2.4047999999999998</v>
      </c>
    </row>
    <row r="26" spans="1:21" ht="35" customHeight="1" x14ac:dyDescent="0.3">
      <c r="A26" s="339"/>
      <c r="B26" s="339"/>
      <c r="C26" s="7" t="s">
        <v>91</v>
      </c>
      <c r="D26" s="7">
        <v>24</v>
      </c>
      <c r="E26" s="44">
        <f>AVERAGE(0.8,0.89)</f>
        <v>0.84499999999999997</v>
      </c>
      <c r="F26" s="30">
        <f>D26*E26*'1-Hypothèses'!B$5</f>
        <v>101.4</v>
      </c>
      <c r="G26" s="40" t="s">
        <v>256</v>
      </c>
      <c r="H26" s="30">
        <v>0.60119999999999996</v>
      </c>
      <c r="I26" s="46">
        <f>H26/E26/'1-Hypothèses'!B$5</f>
        <v>0.14229585798816566</v>
      </c>
      <c r="J26" s="39">
        <f t="shared" si="6"/>
        <v>5.9289940828402355E-3</v>
      </c>
      <c r="K26" s="45">
        <v>1.2023999999999999</v>
      </c>
      <c r="L26" s="48">
        <f>K26/E26/'1-Hypothèses'!B$5</f>
        <v>0.28459171597633132</v>
      </c>
      <c r="M26" s="135">
        <f>L26/D26</f>
        <v>1.1857988165680471E-2</v>
      </c>
      <c r="N26" s="41"/>
      <c r="O26" s="45">
        <v>0.60119999999999996</v>
      </c>
      <c r="P26" s="45">
        <v>0.60119999999999996</v>
      </c>
      <c r="Q26" s="45">
        <f t="shared" si="4"/>
        <v>1.2023999999999999</v>
      </c>
      <c r="R26" s="45">
        <f t="shared" si="5"/>
        <v>2.4047999999999998</v>
      </c>
    </row>
    <row r="27" spans="1:21" ht="39.5" customHeight="1" x14ac:dyDescent="0.3">
      <c r="A27" s="362" t="s">
        <v>106</v>
      </c>
      <c r="B27" s="362" t="s">
        <v>257</v>
      </c>
      <c r="C27" s="12" t="s">
        <v>105</v>
      </c>
      <c r="D27" s="97" t="s">
        <v>365</v>
      </c>
      <c r="E27" s="97" t="s">
        <v>365</v>
      </c>
      <c r="F27" s="97" t="s">
        <v>365</v>
      </c>
      <c r="G27" s="36" t="s">
        <v>256</v>
      </c>
      <c r="H27" s="21"/>
      <c r="I27" s="97"/>
      <c r="J27" s="97"/>
      <c r="K27" s="23"/>
      <c r="L27" s="97"/>
      <c r="M27" s="263"/>
      <c r="N27" s="97" t="s">
        <v>366</v>
      </c>
      <c r="O27" s="23"/>
      <c r="P27" s="23"/>
      <c r="Q27" s="23"/>
      <c r="R27" s="23"/>
    </row>
    <row r="28" spans="1:21" ht="43.5" customHeight="1" x14ac:dyDescent="0.3">
      <c r="A28" s="324"/>
      <c r="B28" s="324"/>
      <c r="C28" s="12" t="s">
        <v>55</v>
      </c>
      <c r="D28" s="9">
        <v>58</v>
      </c>
      <c r="E28" s="28">
        <f>'1-Hypothèses'!C12</f>
        <v>0.64</v>
      </c>
      <c r="F28" s="21">
        <f>D28*E28*'1-Hypothèses'!B$5</f>
        <v>185.6</v>
      </c>
      <c r="G28" s="36" t="s">
        <v>256</v>
      </c>
      <c r="H28" s="21">
        <v>1.8620000000000003</v>
      </c>
      <c r="I28" s="13">
        <f>H28/E28/'1-Hypothèses'!B$5</f>
        <v>0.58187500000000003</v>
      </c>
      <c r="J28" s="28">
        <f t="shared" si="6"/>
        <v>1.0032327586206898E-2</v>
      </c>
      <c r="K28" s="23">
        <v>7.2100000000000009</v>
      </c>
      <c r="L28" s="35">
        <f>K28/E28/'1-Hypothèses'!B$5</f>
        <v>2.2531250000000003</v>
      </c>
      <c r="M28" s="263">
        <f t="shared" ref="M28:M30" si="8">L28/D28</f>
        <v>3.8846982758620696E-2</v>
      </c>
      <c r="N28" s="9"/>
      <c r="O28" s="23">
        <v>5.2136000000000005</v>
      </c>
      <c r="P28" s="23">
        <v>20.188000000000002</v>
      </c>
      <c r="Q28" s="23">
        <f t="shared" si="4"/>
        <v>3.7240000000000002</v>
      </c>
      <c r="R28" s="23">
        <f t="shared" si="5"/>
        <v>14.420000000000002</v>
      </c>
    </row>
    <row r="29" spans="1:21" ht="35" customHeight="1" x14ac:dyDescent="0.3">
      <c r="A29" s="352" t="s">
        <v>95</v>
      </c>
      <c r="B29" s="337" t="s">
        <v>96</v>
      </c>
      <c r="C29" s="7" t="s">
        <v>56</v>
      </c>
      <c r="D29" s="41">
        <v>11</v>
      </c>
      <c r="E29" s="39">
        <f>'1-Hypothèses'!C12</f>
        <v>0.64</v>
      </c>
      <c r="F29" s="45">
        <f>D29*'1-Hypothèses'!B$5*E29</f>
        <v>35.200000000000003</v>
      </c>
      <c r="G29" s="40" t="s">
        <v>173</v>
      </c>
      <c r="H29" s="30">
        <v>66.875</v>
      </c>
      <c r="I29" s="46">
        <f>H29/E29/'1-Hypothèses'!B$5</f>
        <v>20.8984375</v>
      </c>
      <c r="J29" s="39">
        <f t="shared" si="6"/>
        <v>1.8998579545454546</v>
      </c>
      <c r="K29" s="45">
        <v>66.875</v>
      </c>
      <c r="L29" s="48">
        <f>K29/E29/'1-Hypothèses'!B$5</f>
        <v>20.8984375</v>
      </c>
      <c r="M29" s="135">
        <f t="shared" si="8"/>
        <v>1.8998579545454546</v>
      </c>
      <c r="N29" s="41"/>
      <c r="O29" s="45">
        <v>34.875</v>
      </c>
      <c r="P29" s="45">
        <v>98.125</v>
      </c>
      <c r="Q29" s="45">
        <f t="shared" si="4"/>
        <v>133.75</v>
      </c>
      <c r="R29" s="45">
        <f t="shared" si="5"/>
        <v>133.75</v>
      </c>
    </row>
    <row r="30" spans="1:21" ht="35" customHeight="1" x14ac:dyDescent="0.3">
      <c r="A30" s="353"/>
      <c r="B30" s="338"/>
      <c r="C30" s="7" t="s">
        <v>57</v>
      </c>
      <c r="D30" s="41">
        <v>174</v>
      </c>
      <c r="E30" s="39">
        <v>0.3</v>
      </c>
      <c r="F30" s="45">
        <f>D30*'1-Hypothèses'!B$5*E30</f>
        <v>261</v>
      </c>
      <c r="G30" s="40" t="s">
        <v>173</v>
      </c>
      <c r="H30" s="30">
        <v>66.875</v>
      </c>
      <c r="I30" s="46">
        <f>H30/E30/'1-Hypothèses'!B$5</f>
        <v>44.583333333333336</v>
      </c>
      <c r="J30" s="39">
        <f t="shared" si="6"/>
        <v>0.25622605363984674</v>
      </c>
      <c r="K30" s="45">
        <v>66.875</v>
      </c>
      <c r="L30" s="48">
        <f>K30/E30/'1-Hypothèses'!B$5</f>
        <v>44.583333333333336</v>
      </c>
      <c r="M30" s="135">
        <f t="shared" si="8"/>
        <v>0.25622605363984674</v>
      </c>
      <c r="N30" s="41"/>
      <c r="O30" s="45">
        <v>34.875</v>
      </c>
      <c r="P30" s="45">
        <v>98.125</v>
      </c>
      <c r="Q30" s="45">
        <f t="shared" si="4"/>
        <v>133.75</v>
      </c>
      <c r="R30" s="45">
        <f t="shared" si="5"/>
        <v>133.75</v>
      </c>
      <c r="U30" cm="1">
        <f t="array" ref="U30">SUMPRODUCT(1/COUNTIF(C4:C13,C4:C13))</f>
        <v>9</v>
      </c>
    </row>
    <row r="31" spans="1:21" ht="37.5" customHeight="1" x14ac:dyDescent="0.3">
      <c r="A31" s="353"/>
      <c r="B31" s="339"/>
      <c r="C31" s="7" t="s">
        <v>94</v>
      </c>
      <c r="D31" s="41">
        <v>241</v>
      </c>
      <c r="E31" s="39">
        <v>0.34</v>
      </c>
      <c r="F31" s="45">
        <f>D31*'1-Hypothèses'!B$5*E31</f>
        <v>409.70000000000005</v>
      </c>
      <c r="G31" s="40" t="s">
        <v>173</v>
      </c>
      <c r="H31" s="30">
        <v>66.875</v>
      </c>
      <c r="I31" s="46">
        <f>H31/E31/'1-Hypothèses'!B$5</f>
        <v>39.338235294117645</v>
      </c>
      <c r="J31" s="39">
        <f t="shared" si="6"/>
        <v>0.16322919209177447</v>
      </c>
      <c r="K31" s="45">
        <v>66.875</v>
      </c>
      <c r="L31" s="48">
        <f>K31/E31/'1-Hypothèses'!B$5</f>
        <v>39.338235294117645</v>
      </c>
      <c r="M31" s="135">
        <f>L31/D31</f>
        <v>0.16322919209177447</v>
      </c>
      <c r="N31" s="7" t="s">
        <v>197</v>
      </c>
      <c r="O31" s="45">
        <v>34.875</v>
      </c>
      <c r="P31" s="45">
        <v>98.125</v>
      </c>
      <c r="Q31" s="45">
        <f t="shared" si="4"/>
        <v>133.75</v>
      </c>
      <c r="R31" s="45">
        <f t="shared" si="5"/>
        <v>133.75</v>
      </c>
    </row>
    <row r="32" spans="1:21" ht="35" customHeight="1" x14ac:dyDescent="0.3">
      <c r="A32" s="372"/>
      <c r="B32" s="68" t="s">
        <v>196</v>
      </c>
      <c r="C32" s="7" t="s">
        <v>194</v>
      </c>
      <c r="D32" s="41">
        <v>164</v>
      </c>
      <c r="E32" s="39">
        <v>0.56999999999999995</v>
      </c>
      <c r="F32" s="45">
        <f>D32*'1-Hypothèses'!B$5*E32</f>
        <v>467.4</v>
      </c>
      <c r="G32" s="40" t="s">
        <v>173</v>
      </c>
      <c r="H32" s="30">
        <v>66.875</v>
      </c>
      <c r="I32" s="46">
        <f>H32/E32/'1-Hypothèses'!B$5</f>
        <v>23.464912280701757</v>
      </c>
      <c r="J32" s="39">
        <f t="shared" si="6"/>
        <v>0.14307873341891314</v>
      </c>
      <c r="K32" s="45">
        <v>66.875</v>
      </c>
      <c r="L32" s="48">
        <f>K32/E32/'1-Hypothèses'!B$5</f>
        <v>23.464912280701757</v>
      </c>
      <c r="M32" s="135">
        <f>L32/D32</f>
        <v>0.14307873341891314</v>
      </c>
      <c r="N32" s="41"/>
      <c r="O32" s="45">
        <v>34.875</v>
      </c>
      <c r="P32" s="45">
        <v>98.125</v>
      </c>
      <c r="Q32" s="45">
        <f t="shared" si="4"/>
        <v>133.75</v>
      </c>
      <c r="R32" s="45">
        <f t="shared" si="5"/>
        <v>133.75</v>
      </c>
    </row>
    <row r="33" spans="1:18" ht="77.5" customHeight="1" x14ac:dyDescent="0.3">
      <c r="A33" s="375" t="s">
        <v>107</v>
      </c>
      <c r="B33" s="377" t="s">
        <v>92</v>
      </c>
      <c r="C33" s="49" t="s">
        <v>48</v>
      </c>
      <c r="D33" s="50">
        <v>73</v>
      </c>
      <c r="E33" s="51">
        <f>AVERAGE(0.61,0.55)</f>
        <v>0.58000000000000007</v>
      </c>
      <c r="F33" s="52">
        <f>D33*'1-Hypothèses'!B$5*E33</f>
        <v>211.70000000000002</v>
      </c>
      <c r="G33" s="32" t="s">
        <v>217</v>
      </c>
      <c r="H33" s="53">
        <v>80</v>
      </c>
      <c r="I33" s="199">
        <f>H33/E33/'1-Hypothèses'!B$5</f>
        <v>27.586206896551722</v>
      </c>
      <c r="J33" s="51">
        <f t="shared" si="6"/>
        <v>0.3778932451582428</v>
      </c>
      <c r="K33" s="52">
        <v>100</v>
      </c>
      <c r="L33" s="264">
        <f>K33/E33/'1-Hypothèses'!B$5</f>
        <v>34.482758620689651</v>
      </c>
      <c r="M33" s="265">
        <f t="shared" ref="M33:M47" si="9">L33/D33</f>
        <v>0.47236655644780345</v>
      </c>
      <c r="N33" s="9"/>
      <c r="O33" s="23">
        <v>20</v>
      </c>
      <c r="P33" s="23">
        <v>0</v>
      </c>
      <c r="Q33" s="23">
        <f t="shared" si="4"/>
        <v>160</v>
      </c>
      <c r="R33" s="23">
        <f t="shared" si="5"/>
        <v>200</v>
      </c>
    </row>
    <row r="34" spans="1:18" ht="78" customHeight="1" x14ac:dyDescent="0.3">
      <c r="A34" s="376"/>
      <c r="B34" s="378"/>
      <c r="C34" s="49" t="s">
        <v>47</v>
      </c>
      <c r="D34" s="50">
        <v>40</v>
      </c>
      <c r="E34" s="51">
        <f>AVERAGE(0.75,0.64)</f>
        <v>0.69500000000000006</v>
      </c>
      <c r="F34" s="52">
        <f>D34*'1-Hypothèses'!B$5*E34</f>
        <v>139</v>
      </c>
      <c r="G34" s="32" t="s">
        <v>217</v>
      </c>
      <c r="H34" s="53">
        <v>80</v>
      </c>
      <c r="I34" s="199">
        <f>H34/E34/'1-Hypothèses'!B$5</f>
        <v>23.021582733812949</v>
      </c>
      <c r="J34" s="51">
        <f t="shared" si="6"/>
        <v>0.57553956834532372</v>
      </c>
      <c r="K34" s="52">
        <v>100</v>
      </c>
      <c r="L34" s="264">
        <f>K34/E34/'1-Hypothèses'!B$5</f>
        <v>28.776978417266186</v>
      </c>
      <c r="M34" s="265">
        <f t="shared" si="9"/>
        <v>0.71942446043165464</v>
      </c>
      <c r="N34" s="9"/>
      <c r="O34" s="23">
        <v>20</v>
      </c>
      <c r="P34" s="23">
        <v>0</v>
      </c>
      <c r="Q34" s="23">
        <f t="shared" si="4"/>
        <v>160</v>
      </c>
      <c r="R34" s="23">
        <f t="shared" si="5"/>
        <v>200</v>
      </c>
    </row>
    <row r="35" spans="1:18" ht="62" customHeight="1" x14ac:dyDescent="0.3">
      <c r="A35" s="376"/>
      <c r="B35" s="378"/>
      <c r="C35" s="61" t="s">
        <v>55</v>
      </c>
      <c r="D35" s="63">
        <v>58</v>
      </c>
      <c r="E35" s="64">
        <f>'1-Hypothèses'!C12</f>
        <v>0.64</v>
      </c>
      <c r="F35" s="65">
        <f>D35*'1-Hypothèses'!B$5*E35</f>
        <v>185.6</v>
      </c>
      <c r="G35" s="32" t="s">
        <v>217</v>
      </c>
      <c r="H35" s="53">
        <v>80</v>
      </c>
      <c r="I35" s="199">
        <f>H35/E35/'1-Hypothèses'!B$5</f>
        <v>25</v>
      </c>
      <c r="J35" s="51">
        <f t="shared" si="6"/>
        <v>0.43103448275862066</v>
      </c>
      <c r="K35" s="52">
        <v>100</v>
      </c>
      <c r="L35" s="264">
        <f>K35/E35/'1-Hypothèses'!B$5</f>
        <v>31.25</v>
      </c>
      <c r="M35" s="265">
        <f t="shared" si="9"/>
        <v>0.53879310344827591</v>
      </c>
      <c r="N35" s="9"/>
      <c r="O35" s="23">
        <v>20</v>
      </c>
      <c r="P35" s="23">
        <v>0</v>
      </c>
      <c r="Q35" s="23">
        <f t="shared" si="4"/>
        <v>160</v>
      </c>
      <c r="R35" s="23">
        <f t="shared" si="5"/>
        <v>200</v>
      </c>
    </row>
    <row r="36" spans="1:18" ht="64.5" customHeight="1" x14ac:dyDescent="0.3">
      <c r="A36" s="337" t="s">
        <v>8</v>
      </c>
      <c r="B36" s="349" t="s">
        <v>58</v>
      </c>
      <c r="C36" s="7" t="s">
        <v>59</v>
      </c>
      <c r="D36" s="41">
        <v>12</v>
      </c>
      <c r="E36" s="39">
        <f>'1-Hypothèses'!C12</f>
        <v>0.64</v>
      </c>
      <c r="F36" s="45">
        <f>D36*'1-Hypothèses'!B$5*E36</f>
        <v>38.4</v>
      </c>
      <c r="G36" s="40" t="s">
        <v>259</v>
      </c>
      <c r="H36" s="67">
        <v>9.75</v>
      </c>
      <c r="I36" s="200">
        <f>H36/E36/'1-Hypothèses'!B$5</f>
        <v>3.046875</v>
      </c>
      <c r="J36" s="84">
        <f t="shared" si="6"/>
        <v>0.25390625</v>
      </c>
      <c r="K36" s="266">
        <v>9.75</v>
      </c>
      <c r="L36" s="267">
        <f>K36/E36/'1-Hypothèses'!B$5</f>
        <v>3.046875</v>
      </c>
      <c r="M36" s="268">
        <f t="shared" si="9"/>
        <v>0.25390625</v>
      </c>
      <c r="N36" s="41"/>
      <c r="O36" s="45">
        <v>9.75</v>
      </c>
      <c r="P36" s="45">
        <v>29.25</v>
      </c>
      <c r="Q36" s="45">
        <f t="shared" si="4"/>
        <v>19.5</v>
      </c>
      <c r="R36" s="45">
        <f t="shared" si="5"/>
        <v>19.5</v>
      </c>
    </row>
    <row r="37" spans="1:18" ht="64.5" customHeight="1" x14ac:dyDescent="0.3">
      <c r="A37" s="338"/>
      <c r="B37" s="350"/>
      <c r="C37" s="7" t="s">
        <v>60</v>
      </c>
      <c r="D37" s="41">
        <v>30</v>
      </c>
      <c r="E37" s="39">
        <v>0.38</v>
      </c>
      <c r="F37" s="45">
        <f>D37*'1-Hypothèses'!B$5*E37</f>
        <v>57</v>
      </c>
      <c r="G37" s="40" t="s">
        <v>260</v>
      </c>
      <c r="H37" s="67">
        <v>9.75</v>
      </c>
      <c r="I37" s="200">
        <f>H37/E37/'1-Hypothèses'!B$5</f>
        <v>5.1315789473684212</v>
      </c>
      <c r="J37" s="84">
        <f t="shared" si="6"/>
        <v>0.17105263157894737</v>
      </c>
      <c r="K37" s="266">
        <v>9.75</v>
      </c>
      <c r="L37" s="267">
        <f>K37/E37/'1-Hypothèses'!B$5</f>
        <v>5.1315789473684212</v>
      </c>
      <c r="M37" s="268">
        <f t="shared" si="9"/>
        <v>0.17105263157894737</v>
      </c>
      <c r="N37" s="41"/>
      <c r="O37" s="45">
        <v>9.75</v>
      </c>
      <c r="P37" s="45">
        <v>29.25</v>
      </c>
      <c r="Q37" s="45">
        <f t="shared" si="4"/>
        <v>19.5</v>
      </c>
      <c r="R37" s="45">
        <f t="shared" si="5"/>
        <v>19.5</v>
      </c>
    </row>
    <row r="38" spans="1:18" ht="64.5" customHeight="1" x14ac:dyDescent="0.3">
      <c r="A38" s="339"/>
      <c r="B38" s="351"/>
      <c r="C38" s="7" t="s">
        <v>61</v>
      </c>
      <c r="D38" s="41">
        <v>15</v>
      </c>
      <c r="E38" s="39">
        <f>'1-Hypothèses'!C13</f>
        <v>0.6</v>
      </c>
      <c r="F38" s="45">
        <f>D38*'1-Hypothèses'!B$5*E38</f>
        <v>45</v>
      </c>
      <c r="G38" s="40" t="s">
        <v>260</v>
      </c>
      <c r="H38" s="67">
        <v>9.75</v>
      </c>
      <c r="I38" s="200">
        <f>H38/E38/'1-Hypothèses'!B$5</f>
        <v>3.25</v>
      </c>
      <c r="J38" s="84">
        <f t="shared" si="6"/>
        <v>0.21666666666666667</v>
      </c>
      <c r="K38" s="266">
        <v>9.75</v>
      </c>
      <c r="L38" s="267">
        <f>K38/E38/'1-Hypothèses'!B$5</f>
        <v>3.25</v>
      </c>
      <c r="M38" s="268">
        <f t="shared" si="9"/>
        <v>0.21666666666666667</v>
      </c>
      <c r="N38" s="41"/>
      <c r="O38" s="45">
        <v>9.75</v>
      </c>
      <c r="P38" s="45">
        <v>29.25</v>
      </c>
      <c r="Q38" s="45">
        <f t="shared" si="4"/>
        <v>19.5</v>
      </c>
      <c r="R38" s="45">
        <f t="shared" si="5"/>
        <v>19.5</v>
      </c>
    </row>
    <row r="39" spans="1:18" ht="64.5" customHeight="1" x14ac:dyDescent="0.3">
      <c r="A39" s="323" t="s">
        <v>14</v>
      </c>
      <c r="B39" s="323" t="s">
        <v>62</v>
      </c>
      <c r="C39" s="12" t="s">
        <v>45</v>
      </c>
      <c r="D39" s="97" t="s">
        <v>365</v>
      </c>
      <c r="E39" s="64">
        <v>0.9</v>
      </c>
      <c r="F39" s="97" t="s">
        <v>365</v>
      </c>
      <c r="G39" s="32" t="s">
        <v>216</v>
      </c>
      <c r="H39" s="72">
        <v>19.5</v>
      </c>
      <c r="I39" s="201">
        <f>H39/E39/'1-Hypothèses'!B$5</f>
        <v>4.3333333333333339</v>
      </c>
      <c r="J39" s="97" t="s">
        <v>365</v>
      </c>
      <c r="K39" s="270">
        <v>19.5</v>
      </c>
      <c r="L39" s="271">
        <f>K39/E39/'1-Hypothèses'!B$5</f>
        <v>4.3333333333333339</v>
      </c>
      <c r="M39" s="97" t="s">
        <v>365</v>
      </c>
      <c r="N39" s="9"/>
      <c r="O39" s="23">
        <v>19.5</v>
      </c>
      <c r="P39" s="23">
        <v>19.5</v>
      </c>
      <c r="Q39" s="23">
        <f t="shared" si="4"/>
        <v>39.000000000000007</v>
      </c>
      <c r="R39" s="23">
        <f t="shared" si="5"/>
        <v>39.000000000000007</v>
      </c>
    </row>
    <row r="40" spans="1:18" ht="64.5" customHeight="1" x14ac:dyDescent="0.3">
      <c r="A40" s="324"/>
      <c r="B40" s="324"/>
      <c r="C40" s="12" t="s">
        <v>47</v>
      </c>
      <c r="D40" s="9">
        <v>40</v>
      </c>
      <c r="E40" s="64">
        <f>AVERAGE(0.75,0.64)</f>
        <v>0.69500000000000006</v>
      </c>
      <c r="F40" s="65">
        <f>D40*'1-Hypothèses'!B$5*E40</f>
        <v>139</v>
      </c>
      <c r="G40" s="32" t="s">
        <v>216</v>
      </c>
      <c r="H40" s="72">
        <v>19.5</v>
      </c>
      <c r="I40" s="201">
        <f>H40/E40/'1-Hypothèses'!B$5</f>
        <v>5.6115107913669053</v>
      </c>
      <c r="J40" s="269">
        <f t="shared" si="6"/>
        <v>0.14028776978417262</v>
      </c>
      <c r="K40" s="270">
        <v>19.5</v>
      </c>
      <c r="L40" s="271">
        <f>K40/E40/'1-Hypothèses'!B$5</f>
        <v>5.6115107913669053</v>
      </c>
      <c r="M40" s="272">
        <f t="shared" si="9"/>
        <v>0.14028776978417262</v>
      </c>
      <c r="N40" s="9"/>
      <c r="O40" s="23">
        <v>19.5</v>
      </c>
      <c r="P40" s="23">
        <v>19.5</v>
      </c>
      <c r="Q40" s="23">
        <f t="shared" si="4"/>
        <v>38.999999999999993</v>
      </c>
      <c r="R40" s="23">
        <f t="shared" si="5"/>
        <v>38.999999999999993</v>
      </c>
    </row>
    <row r="41" spans="1:18" ht="64.5" customHeight="1" x14ac:dyDescent="0.3">
      <c r="A41" s="337" t="s">
        <v>15</v>
      </c>
      <c r="B41" s="345" t="s">
        <v>63</v>
      </c>
      <c r="C41" s="7" t="s">
        <v>65</v>
      </c>
      <c r="D41" s="41">
        <v>367</v>
      </c>
      <c r="E41" s="70">
        <v>0.7</v>
      </c>
      <c r="F41" s="71">
        <f>D41*'1-Hypothèses'!B$5*E41</f>
        <v>1284.5</v>
      </c>
      <c r="G41" s="10" t="s">
        <v>261</v>
      </c>
      <c r="H41" s="67">
        <v>30</v>
      </c>
      <c r="I41" s="200">
        <f>H41/E41/'1-Hypothèses'!B$5</f>
        <v>8.571428571428573</v>
      </c>
      <c r="J41" s="84">
        <f t="shared" si="6"/>
        <v>2.3355391202802653E-2</v>
      </c>
      <c r="K41" s="266">
        <v>30</v>
      </c>
      <c r="L41" s="267">
        <f>K41/E41/'1-Hypothèses'!B$5</f>
        <v>8.571428571428573</v>
      </c>
      <c r="M41" s="268">
        <f t="shared" si="9"/>
        <v>2.3355391202802653E-2</v>
      </c>
      <c r="N41" s="41"/>
      <c r="O41" s="45">
        <v>30</v>
      </c>
      <c r="P41" s="45">
        <v>90</v>
      </c>
      <c r="Q41" s="45">
        <f t="shared" si="4"/>
        <v>60</v>
      </c>
      <c r="R41" s="45">
        <f t="shared" si="5"/>
        <v>60</v>
      </c>
    </row>
    <row r="42" spans="1:18" ht="64.5" customHeight="1" x14ac:dyDescent="0.3">
      <c r="A42" s="339"/>
      <c r="B42" s="345"/>
      <c r="C42" s="7" t="s">
        <v>64</v>
      </c>
      <c r="D42" s="41">
        <v>18</v>
      </c>
      <c r="E42" s="70">
        <v>0.67</v>
      </c>
      <c r="F42" s="71">
        <f>D42*'1-Hypothèses'!B$5*E42</f>
        <v>60.300000000000004</v>
      </c>
      <c r="G42" s="10" t="s">
        <v>261</v>
      </c>
      <c r="H42" s="67">
        <v>30</v>
      </c>
      <c r="I42" s="200">
        <f>H42/E42/'1-Hypothèses'!B$5</f>
        <v>8.9552238805970141</v>
      </c>
      <c r="J42" s="84">
        <f t="shared" si="6"/>
        <v>0.49751243781094523</v>
      </c>
      <c r="K42" s="266">
        <v>30</v>
      </c>
      <c r="L42" s="267">
        <f>K42/E42/'1-Hypothèses'!B$5</f>
        <v>8.9552238805970141</v>
      </c>
      <c r="M42" s="268">
        <f t="shared" si="9"/>
        <v>0.49751243781094523</v>
      </c>
      <c r="N42" s="41"/>
      <c r="O42" s="45">
        <v>30</v>
      </c>
      <c r="P42" s="45">
        <v>90</v>
      </c>
      <c r="Q42" s="45">
        <f t="shared" si="4"/>
        <v>60</v>
      </c>
      <c r="R42" s="45">
        <f t="shared" si="5"/>
        <v>60</v>
      </c>
    </row>
    <row r="43" spans="1:18" ht="64.5" customHeight="1" x14ac:dyDescent="0.3">
      <c r="A43" s="323" t="s">
        <v>66</v>
      </c>
      <c r="B43" s="357" t="s">
        <v>102</v>
      </c>
      <c r="C43" s="12" t="s">
        <v>67</v>
      </c>
      <c r="D43" s="9">
        <v>24</v>
      </c>
      <c r="E43" s="64">
        <v>0.46</v>
      </c>
      <c r="F43" s="65">
        <f>D43*'1-Hypothèses'!B$5*E43</f>
        <v>55.2</v>
      </c>
      <c r="G43" s="177" t="s">
        <v>173</v>
      </c>
      <c r="H43" s="53">
        <v>9.9999999999999982</v>
      </c>
      <c r="I43" s="199">
        <f>H43/E43/'1-Hypothèses'!B$5</f>
        <v>4.3478260869565206</v>
      </c>
      <c r="J43" s="51">
        <f t="shared" si="6"/>
        <v>0.18115942028985502</v>
      </c>
      <c r="K43" s="52">
        <v>19.999999999999996</v>
      </c>
      <c r="L43" s="264">
        <f>K43/E43/'1-Hypothèses'!B$5</f>
        <v>8.6956521739130412</v>
      </c>
      <c r="M43" s="265">
        <f t="shared" si="9"/>
        <v>0.36231884057971003</v>
      </c>
      <c r="N43" s="9"/>
      <c r="O43" s="23">
        <v>20</v>
      </c>
      <c r="P43" s="23">
        <v>10.000000000000004</v>
      </c>
      <c r="Q43" s="23">
        <f t="shared" si="4"/>
        <v>19.999999999999996</v>
      </c>
      <c r="R43" s="23">
        <f t="shared" si="5"/>
        <v>39.999999999999993</v>
      </c>
    </row>
    <row r="44" spans="1:18" ht="64.5" customHeight="1" x14ac:dyDescent="0.3">
      <c r="A44" s="324"/>
      <c r="B44" s="358"/>
      <c r="C44" s="12" t="s">
        <v>68</v>
      </c>
      <c r="D44" s="9">
        <v>24</v>
      </c>
      <c r="E44" s="64">
        <v>0.59</v>
      </c>
      <c r="F44" s="65">
        <f>D44*'1-Hypothèses'!B$5*E44</f>
        <v>70.8</v>
      </c>
      <c r="G44" s="74" t="s">
        <v>173</v>
      </c>
      <c r="H44" s="53">
        <v>9.9999999999999982</v>
      </c>
      <c r="I44" s="199">
        <f>H44/E44/'1-Hypothèses'!B$5</f>
        <v>3.3898305084745757</v>
      </c>
      <c r="J44" s="51">
        <f t="shared" si="6"/>
        <v>0.14124293785310732</v>
      </c>
      <c r="K44" s="52">
        <v>19.999999999999996</v>
      </c>
      <c r="L44" s="264">
        <f>K44/E44/'1-Hypothèses'!B$5</f>
        <v>6.7796610169491514</v>
      </c>
      <c r="M44" s="265">
        <f t="shared" si="9"/>
        <v>0.28248587570621464</v>
      </c>
      <c r="N44" s="9"/>
      <c r="O44" s="23">
        <v>20</v>
      </c>
      <c r="P44" s="23">
        <v>10.000000000000004</v>
      </c>
      <c r="Q44" s="23">
        <f t="shared" si="4"/>
        <v>19.999999999999996</v>
      </c>
      <c r="R44" s="23">
        <f t="shared" si="5"/>
        <v>39.999999999999993</v>
      </c>
    </row>
    <row r="45" spans="1:18" ht="52.5" customHeight="1" x14ac:dyDescent="0.3">
      <c r="A45" s="337" t="s">
        <v>98</v>
      </c>
      <c r="B45" s="337" t="s">
        <v>330</v>
      </c>
      <c r="C45" s="66" t="s">
        <v>47</v>
      </c>
      <c r="D45" s="7">
        <v>40</v>
      </c>
      <c r="E45" s="39">
        <f>AVERAGE(0.75,0.64)</f>
        <v>0.69500000000000006</v>
      </c>
      <c r="F45" s="67">
        <f>D45*E45*'1-Hypothèses'!B$5</f>
        <v>139.00000000000003</v>
      </c>
      <c r="G45" s="178" t="s">
        <v>219</v>
      </c>
      <c r="H45" s="30">
        <v>23.936613567820931</v>
      </c>
      <c r="I45" s="200">
        <f>H45/E45/'1-Hypothèses'!B$5</f>
        <v>6.8882341202362385</v>
      </c>
      <c r="J45" s="84">
        <f t="shared" si="6"/>
        <v>0.17220585300590596</v>
      </c>
      <c r="K45" s="45">
        <v>20.102293642430631</v>
      </c>
      <c r="L45" s="267">
        <f>K45/E45/'1-Hypothèses'!B$5</f>
        <v>5.7848327028577353</v>
      </c>
      <c r="M45" s="268">
        <f t="shared" si="9"/>
        <v>0.14462081757144338</v>
      </c>
      <c r="N45" s="7" t="s">
        <v>443</v>
      </c>
      <c r="O45" s="45">
        <v>-6.6234058471712416</v>
      </c>
      <c r="P45" s="45">
        <v>41.295600925353966</v>
      </c>
      <c r="Q45" s="45">
        <f t="shared" si="4"/>
        <v>47.873227135641862</v>
      </c>
      <c r="R45" s="45">
        <f t="shared" si="5"/>
        <v>40.204587284861262</v>
      </c>
    </row>
    <row r="46" spans="1:18" ht="53" customHeight="1" x14ac:dyDescent="0.3">
      <c r="A46" s="338"/>
      <c r="B46" s="338"/>
      <c r="C46" s="66" t="s">
        <v>75</v>
      </c>
      <c r="D46" s="7">
        <v>78</v>
      </c>
      <c r="E46" s="43">
        <v>0.5</v>
      </c>
      <c r="F46" s="7"/>
      <c r="G46" s="178" t="s">
        <v>219</v>
      </c>
      <c r="H46" s="30">
        <v>23.936613567820931</v>
      </c>
      <c r="I46" s="200">
        <f>H46/E46/'1-Hypothèses'!B$5</f>
        <v>9.5746454271283721</v>
      </c>
      <c r="J46" s="84">
        <f t="shared" si="6"/>
        <v>0.12275186445036375</v>
      </c>
      <c r="K46" s="45">
        <v>20.102293642430631</v>
      </c>
      <c r="L46" s="267">
        <f>K46/E46/'1-Hypothèses'!B$5</f>
        <v>8.0409174569722524</v>
      </c>
      <c r="M46" s="268">
        <f t="shared" si="9"/>
        <v>0.10308868534579811</v>
      </c>
      <c r="N46" s="41"/>
      <c r="O46" s="45">
        <v>-6.6234058471712416</v>
      </c>
      <c r="P46" s="45">
        <v>41.295600925353966</v>
      </c>
      <c r="Q46" s="45">
        <f t="shared" si="4"/>
        <v>47.873227135641862</v>
      </c>
      <c r="R46" s="45">
        <f t="shared" si="5"/>
        <v>40.204587284861262</v>
      </c>
    </row>
    <row r="47" spans="1:18" ht="53" customHeight="1" x14ac:dyDescent="0.3">
      <c r="A47" s="339"/>
      <c r="B47" s="339"/>
      <c r="C47" s="66" t="s">
        <v>76</v>
      </c>
      <c r="D47" s="7">
        <v>17</v>
      </c>
      <c r="E47" s="43">
        <f>'1-Hypothèses'!C13</f>
        <v>0.6</v>
      </c>
      <c r="F47" s="7"/>
      <c r="G47" s="178" t="s">
        <v>219</v>
      </c>
      <c r="H47" s="30">
        <v>23.936613567820931</v>
      </c>
      <c r="I47" s="200">
        <f>H47/E47/'1-Hypothèses'!B$5</f>
        <v>7.9788711892736446</v>
      </c>
      <c r="J47" s="84">
        <f t="shared" si="6"/>
        <v>0.46934536407492028</v>
      </c>
      <c r="K47" s="45">
        <v>20.102293642430631</v>
      </c>
      <c r="L47" s="267">
        <f>K47/E47/'1-Hypothèses'!B$5</f>
        <v>6.7007645474768776</v>
      </c>
      <c r="M47" s="268">
        <f t="shared" si="9"/>
        <v>0.39416262043981631</v>
      </c>
      <c r="N47" s="7" t="s">
        <v>359</v>
      </c>
      <c r="O47" s="45">
        <v>-6.6234058471712416</v>
      </c>
      <c r="P47" s="45">
        <v>41.295600925353966</v>
      </c>
      <c r="Q47" s="45">
        <f t="shared" si="4"/>
        <v>47.873227135641862</v>
      </c>
      <c r="R47" s="45">
        <f t="shared" si="5"/>
        <v>40.204587284861269</v>
      </c>
    </row>
    <row r="48" spans="1:18" ht="84.5" customHeight="1" x14ac:dyDescent="0.3">
      <c r="A48" s="75" t="s">
        <v>69</v>
      </c>
      <c r="B48" s="83" t="s">
        <v>108</v>
      </c>
      <c r="C48" s="75" t="s">
        <v>47</v>
      </c>
      <c r="D48" s="76">
        <v>40</v>
      </c>
      <c r="E48" s="77">
        <f>AVERAGE(0.75,0.64)</f>
        <v>0.69500000000000006</v>
      </c>
      <c r="F48" s="78">
        <f>D48*'1-Hypothèses'!B$5*E48</f>
        <v>139</v>
      </c>
      <c r="G48" s="198" t="s">
        <v>216</v>
      </c>
      <c r="H48" s="79">
        <v>15.793209549071614</v>
      </c>
      <c r="I48" s="190">
        <f>H48/E48/'1-Hypothèses'!B$5</f>
        <v>4.5448085033299606</v>
      </c>
      <c r="J48" s="77">
        <f>I48/D48</f>
        <v>0.11362021258324902</v>
      </c>
      <c r="K48" s="78">
        <v>38.499087533156498</v>
      </c>
      <c r="L48" s="101">
        <f>K48/E48/'1-Hypothèses'!B$5</f>
        <v>11.078874110260861</v>
      </c>
      <c r="M48" s="121">
        <f>L48/D48</f>
        <v>0.27697185275652153</v>
      </c>
      <c r="N48" s="9"/>
      <c r="O48" s="23">
        <v>36.982915225464204</v>
      </c>
      <c r="P48" s="23">
        <v>105.42767618037134</v>
      </c>
      <c r="Q48" s="23">
        <f t="shared" si="4"/>
        <v>31.586419098143228</v>
      </c>
      <c r="R48" s="23">
        <f t="shared" si="5"/>
        <v>76.998175066312996</v>
      </c>
    </row>
    <row r="49" spans="1:18" ht="51" customHeight="1" x14ac:dyDescent="0.3">
      <c r="A49" s="337" t="s">
        <v>77</v>
      </c>
      <c r="B49" s="337" t="s">
        <v>109</v>
      </c>
      <c r="C49" s="7" t="s">
        <v>72</v>
      </c>
      <c r="D49" s="41">
        <v>85</v>
      </c>
      <c r="E49" s="39">
        <f>AVERAGE(0.51,0.54)</f>
        <v>0.52500000000000002</v>
      </c>
      <c r="F49" s="45">
        <f>D49*'1-Hypothèses'!B$5*E49</f>
        <v>223.125</v>
      </c>
      <c r="G49" s="179" t="s">
        <v>216</v>
      </c>
      <c r="H49" s="30">
        <v>51.682677103718191</v>
      </c>
      <c r="I49" s="46">
        <f>H49/E49/'1-Hypothèses'!B$5</f>
        <v>19.688638896654549</v>
      </c>
      <c r="J49" s="39">
        <f t="shared" ref="J49:J61" si="10">I49/D49</f>
        <v>0.23163104584299468</v>
      </c>
      <c r="K49" s="45">
        <v>79.460652315720822</v>
      </c>
      <c r="L49" s="48">
        <f>K49/E49/'1-Hypothèses'!B$5</f>
        <v>30.270724691703169</v>
      </c>
      <c r="M49" s="135">
        <f>L49/D49</f>
        <v>0.35612617284356668</v>
      </c>
      <c r="N49" s="41"/>
      <c r="O49" s="45">
        <v>60.901283757338533</v>
      </c>
      <c r="P49" s="45">
        <v>177.32361643835611</v>
      </c>
      <c r="Q49" s="45">
        <f t="shared" si="4"/>
        <v>103.3653542074364</v>
      </c>
      <c r="R49" s="45">
        <f t="shared" si="5"/>
        <v>158.92130463144164</v>
      </c>
    </row>
    <row r="50" spans="1:18" ht="51" customHeight="1" x14ac:dyDescent="0.3">
      <c r="A50" s="338"/>
      <c r="B50" s="338"/>
      <c r="C50" s="7" t="s">
        <v>73</v>
      </c>
      <c r="D50" s="41">
        <v>39</v>
      </c>
      <c r="E50" s="39">
        <f>AVERAGE(0.77,0.73)</f>
        <v>0.75</v>
      </c>
      <c r="F50" s="45">
        <f>D50*'1-Hypothèses'!B$5*E50</f>
        <v>146.25</v>
      </c>
      <c r="G50" s="179" t="s">
        <v>216</v>
      </c>
      <c r="H50" s="30">
        <v>51.682677103718191</v>
      </c>
      <c r="I50" s="46">
        <f>H50/E50/'1-Hypothèses'!B$5</f>
        <v>13.782047227658186</v>
      </c>
      <c r="J50" s="39">
        <f t="shared" si="10"/>
        <v>0.35338582635020988</v>
      </c>
      <c r="K50" s="45">
        <v>79.460652315720822</v>
      </c>
      <c r="L50" s="48">
        <f>K50/E50/'1-Hypothèses'!B$5</f>
        <v>21.189507284192221</v>
      </c>
      <c r="M50" s="135">
        <f t="shared" ref="M50:M61" si="11">L50/D50</f>
        <v>0.54332069959467233</v>
      </c>
      <c r="N50" s="41"/>
      <c r="O50" s="45">
        <v>60.901283757338533</v>
      </c>
      <c r="P50" s="45">
        <v>177.32361643835611</v>
      </c>
      <c r="Q50" s="45">
        <f t="shared" si="4"/>
        <v>103.36535420743638</v>
      </c>
      <c r="R50" s="45">
        <f t="shared" si="5"/>
        <v>158.92130463144164</v>
      </c>
    </row>
    <row r="51" spans="1:18" ht="51" customHeight="1" x14ac:dyDescent="0.3">
      <c r="A51" s="338"/>
      <c r="B51" s="338"/>
      <c r="C51" s="7" t="s">
        <v>74</v>
      </c>
      <c r="D51" s="41">
        <v>117</v>
      </c>
      <c r="E51" s="39">
        <v>0.4</v>
      </c>
      <c r="F51" s="45">
        <f>D51*'1-Hypothèses'!B$5*E51</f>
        <v>234</v>
      </c>
      <c r="G51" s="179" t="s">
        <v>216</v>
      </c>
      <c r="H51" s="30">
        <v>51.682677103718191</v>
      </c>
      <c r="I51" s="46">
        <f>H51/E51/'1-Hypothèses'!B$5</f>
        <v>25.841338551859092</v>
      </c>
      <c r="J51" s="39">
        <f t="shared" si="10"/>
        <v>0.22086614146888112</v>
      </c>
      <c r="K51" s="45">
        <v>79.460652315720822</v>
      </c>
      <c r="L51" s="48">
        <f>K51/E51/'1-Hypothèses'!B$5</f>
        <v>39.730326157860404</v>
      </c>
      <c r="M51" s="135">
        <f t="shared" si="11"/>
        <v>0.33957543724667011</v>
      </c>
      <c r="N51" s="41"/>
      <c r="O51" s="45">
        <v>60.901283757338533</v>
      </c>
      <c r="P51" s="45">
        <v>177.32361643835611</v>
      </c>
      <c r="Q51" s="45">
        <f t="shared" si="4"/>
        <v>103.36535420743638</v>
      </c>
      <c r="R51" s="45">
        <f t="shared" si="5"/>
        <v>158.92130463144164</v>
      </c>
    </row>
    <row r="52" spans="1:18" ht="51" customHeight="1" x14ac:dyDescent="0.3">
      <c r="A52" s="338"/>
      <c r="B52" s="338"/>
      <c r="C52" s="7" t="s">
        <v>75</v>
      </c>
      <c r="D52" s="41">
        <v>78</v>
      </c>
      <c r="E52" s="39">
        <v>0.5</v>
      </c>
      <c r="F52" s="45">
        <f>D52*'1-Hypothèses'!B$5*E52</f>
        <v>195</v>
      </c>
      <c r="G52" s="179" t="s">
        <v>216</v>
      </c>
      <c r="H52" s="30">
        <v>51.682677103718191</v>
      </c>
      <c r="I52" s="46">
        <f>H52/E52/'1-Hypothèses'!B$5</f>
        <v>20.673070841487277</v>
      </c>
      <c r="J52" s="39">
        <f t="shared" si="10"/>
        <v>0.26503936976265741</v>
      </c>
      <c r="K52" s="45">
        <v>79.460652315720822</v>
      </c>
      <c r="L52" s="48">
        <f>K52/E52/'1-Hypothèses'!B$5</f>
        <v>31.784260926288329</v>
      </c>
      <c r="M52" s="135">
        <f t="shared" si="11"/>
        <v>0.40749052469600422</v>
      </c>
      <c r="N52" s="41"/>
      <c r="O52" s="45">
        <v>60.901283757338533</v>
      </c>
      <c r="P52" s="45">
        <v>177.32361643835611</v>
      </c>
      <c r="Q52" s="45">
        <f t="shared" si="4"/>
        <v>103.36535420743638</v>
      </c>
      <c r="R52" s="45">
        <f t="shared" si="5"/>
        <v>158.92130463144164</v>
      </c>
    </row>
    <row r="53" spans="1:18" ht="51" customHeight="1" x14ac:dyDescent="0.3">
      <c r="A53" s="339"/>
      <c r="B53" s="339"/>
      <c r="C53" s="7" t="s">
        <v>76</v>
      </c>
      <c r="D53" s="41">
        <v>17</v>
      </c>
      <c r="E53" s="39">
        <f>'1-Hypothèses'!C14</f>
        <v>0.9</v>
      </c>
      <c r="F53" s="45">
        <f>D53*'1-Hypothèses'!B$5*E53</f>
        <v>76.5</v>
      </c>
      <c r="G53" s="179" t="s">
        <v>216</v>
      </c>
      <c r="H53" s="30">
        <v>51.682677103718191</v>
      </c>
      <c r="I53" s="46">
        <f>H53/E53/'1-Hypothèses'!B$5</f>
        <v>11.48503935638182</v>
      </c>
      <c r="J53" s="39">
        <f t="shared" si="10"/>
        <v>0.67559055037540117</v>
      </c>
      <c r="K53" s="45">
        <v>79.460652315720822</v>
      </c>
      <c r="L53" s="48">
        <f>K53/E53/'1-Hypothèses'!B$5</f>
        <v>17.657922736826848</v>
      </c>
      <c r="M53" s="135">
        <f t="shared" si="11"/>
        <v>1.0387013374604028</v>
      </c>
      <c r="N53" s="41"/>
      <c r="O53" s="45">
        <v>60.901283757338533</v>
      </c>
      <c r="P53" s="45">
        <v>177.32361643835611</v>
      </c>
      <c r="Q53" s="45">
        <f t="shared" si="4"/>
        <v>103.36535420743638</v>
      </c>
      <c r="R53" s="45">
        <f t="shared" si="5"/>
        <v>158.92130463144164</v>
      </c>
    </row>
    <row r="54" spans="1:18" ht="51" customHeight="1" x14ac:dyDescent="0.3">
      <c r="A54" s="323" t="s">
        <v>71</v>
      </c>
      <c r="B54" s="359" t="s">
        <v>110</v>
      </c>
      <c r="C54" s="12" t="s">
        <v>48</v>
      </c>
      <c r="D54" s="9">
        <v>73</v>
      </c>
      <c r="E54" s="28">
        <f>AVERAGE(0.61,0.55)</f>
        <v>0.58000000000000007</v>
      </c>
      <c r="F54" s="23">
        <f>D54*'1-Hypothèses'!B$5*E54</f>
        <v>211.70000000000002</v>
      </c>
      <c r="G54" s="32" t="s">
        <v>216</v>
      </c>
      <c r="H54" s="21">
        <v>7.8831780821917796</v>
      </c>
      <c r="I54" s="13">
        <f>H54/E54/'1-Hypothèses'!B$5</f>
        <v>2.7183372697213031</v>
      </c>
      <c r="J54" s="28">
        <f t="shared" si="10"/>
        <v>3.7237496845497299E-2</v>
      </c>
      <c r="K54" s="23">
        <v>15.109424657534248</v>
      </c>
      <c r="L54" s="35">
        <f>K54/E54/'1-Hypothèses'!B$5</f>
        <v>5.2101464336324987</v>
      </c>
      <c r="M54" s="263">
        <f t="shared" si="11"/>
        <v>7.1371868953869849E-2</v>
      </c>
      <c r="N54" s="9"/>
      <c r="O54" s="23">
        <v>3.196372602739725</v>
      </c>
      <c r="P54" s="23">
        <v>18.868197260273966</v>
      </c>
      <c r="Q54" s="23">
        <f t="shared" si="4"/>
        <v>15.766356164383559</v>
      </c>
      <c r="R54" s="23">
        <f t="shared" si="5"/>
        <v>30.218849315068496</v>
      </c>
    </row>
    <row r="55" spans="1:18" ht="51" customHeight="1" x14ac:dyDescent="0.3">
      <c r="A55" s="362"/>
      <c r="B55" s="360"/>
      <c r="C55" s="12" t="s">
        <v>47</v>
      </c>
      <c r="D55" s="9">
        <v>40</v>
      </c>
      <c r="E55" s="28">
        <f>AVERAGE(0.75,0.64)</f>
        <v>0.69500000000000006</v>
      </c>
      <c r="F55" s="23">
        <f>D55*'1-Hypothèses'!B$5*E55</f>
        <v>139</v>
      </c>
      <c r="G55" s="32" t="s">
        <v>216</v>
      </c>
      <c r="H55" s="21">
        <v>7.8831780821917796</v>
      </c>
      <c r="I55" s="13">
        <f>H55/E55/'1-Hypothèses'!B$5</f>
        <v>2.268540455306987</v>
      </c>
      <c r="J55" s="28">
        <f t="shared" si="10"/>
        <v>5.6713511382674678E-2</v>
      </c>
      <c r="K55" s="23">
        <v>15.109424657534248</v>
      </c>
      <c r="L55" s="35">
        <f>K55/E55/'1-Hypothèses'!B$5</f>
        <v>4.3480358726717254</v>
      </c>
      <c r="M55" s="263">
        <f t="shared" si="11"/>
        <v>0.10870089681679314</v>
      </c>
      <c r="N55" s="9"/>
      <c r="O55" s="23">
        <v>3.196372602739725</v>
      </c>
      <c r="P55" s="23">
        <v>18.868197260273966</v>
      </c>
      <c r="Q55" s="23">
        <f t="shared" si="4"/>
        <v>15.766356164383561</v>
      </c>
      <c r="R55" s="23">
        <f t="shared" si="5"/>
        <v>30.218849315068496</v>
      </c>
    </row>
    <row r="56" spans="1:18" ht="51" customHeight="1" x14ac:dyDescent="0.3">
      <c r="A56" s="362"/>
      <c r="B56" s="360"/>
      <c r="C56" s="12" t="s">
        <v>79</v>
      </c>
      <c r="D56" s="9">
        <v>78</v>
      </c>
      <c r="E56" s="28">
        <f>'1-Hypothèses'!C15</f>
        <v>0.4</v>
      </c>
      <c r="F56" s="23">
        <f>D56*'1-Hypothèses'!B$5*E56</f>
        <v>156</v>
      </c>
      <c r="G56" s="32" t="s">
        <v>216</v>
      </c>
      <c r="H56" s="21">
        <v>7.8831780821917796</v>
      </c>
      <c r="I56" s="13">
        <f>H56/E56/'1-Hypothèses'!B$5</f>
        <v>3.9415890410958894</v>
      </c>
      <c r="J56" s="28">
        <f t="shared" si="10"/>
        <v>5.0533192834562687E-2</v>
      </c>
      <c r="K56" s="23">
        <v>15.109424657534248</v>
      </c>
      <c r="L56" s="35">
        <f>K56/E56/'1-Hypothèses'!B$5</f>
        <v>7.5547123287671241</v>
      </c>
      <c r="M56" s="263">
        <f t="shared" si="11"/>
        <v>9.6855286266245177E-2</v>
      </c>
      <c r="N56" s="9"/>
      <c r="O56" s="23">
        <v>3.196372602739725</v>
      </c>
      <c r="P56" s="23">
        <v>18.868197260273966</v>
      </c>
      <c r="Q56" s="23">
        <f t="shared" si="4"/>
        <v>15.766356164383559</v>
      </c>
      <c r="R56" s="23">
        <f t="shared" si="5"/>
        <v>30.218849315068496</v>
      </c>
    </row>
    <row r="57" spans="1:18" ht="51" customHeight="1" x14ac:dyDescent="0.3">
      <c r="A57" s="324"/>
      <c r="B57" s="361"/>
      <c r="C57" s="12" t="s">
        <v>45</v>
      </c>
      <c r="D57" s="97" t="s">
        <v>365</v>
      </c>
      <c r="E57" s="28">
        <v>0.9</v>
      </c>
      <c r="F57" s="97" t="s">
        <v>365</v>
      </c>
      <c r="G57" s="32" t="s">
        <v>216</v>
      </c>
      <c r="H57" s="21">
        <v>7.8831780821917796</v>
      </c>
      <c r="I57" s="13">
        <f>H57/E57/'1-Hypothèses'!B$5</f>
        <v>1.7518173515981732</v>
      </c>
      <c r="J57" s="97" t="s">
        <v>365</v>
      </c>
      <c r="K57" s="23">
        <v>15.109424657534248</v>
      </c>
      <c r="L57" s="35">
        <f>K57/E57/'1-Hypothèses'!B$5</f>
        <v>3.3576499238964992</v>
      </c>
      <c r="M57" s="97" t="s">
        <v>365</v>
      </c>
      <c r="N57" s="9"/>
      <c r="O57" s="23">
        <v>3.196372602739725</v>
      </c>
      <c r="P57" s="23">
        <v>18.868197260273966</v>
      </c>
      <c r="Q57" s="23">
        <f t="shared" si="4"/>
        <v>15.766356164383559</v>
      </c>
      <c r="R57" s="23">
        <f t="shared" si="5"/>
        <v>30.218849315068493</v>
      </c>
    </row>
    <row r="58" spans="1:18" ht="33" customHeight="1" x14ac:dyDescent="0.3">
      <c r="A58" s="352" t="s">
        <v>81</v>
      </c>
      <c r="B58" s="337" t="s">
        <v>82</v>
      </c>
      <c r="C58" s="42" t="s">
        <v>56</v>
      </c>
      <c r="D58" s="42">
        <v>21</v>
      </c>
      <c r="E58" s="80">
        <f>'1-Hypothèses'!C12</f>
        <v>0.64</v>
      </c>
      <c r="F58" s="81">
        <f>D58*'1-Hypothèses'!B$5*E58</f>
        <v>67.2</v>
      </c>
      <c r="G58" s="10" t="s">
        <v>262</v>
      </c>
      <c r="H58" s="30">
        <v>24</v>
      </c>
      <c r="I58" s="46">
        <f>H58/E58/'1-Hypothèses'!B$5</f>
        <v>7.5</v>
      </c>
      <c r="J58" s="39">
        <f t="shared" si="10"/>
        <v>0.35714285714285715</v>
      </c>
      <c r="K58" s="45">
        <v>24</v>
      </c>
      <c r="L58" s="48">
        <f>K58/E58/'1-Hypothèses'!B$5</f>
        <v>7.5</v>
      </c>
      <c r="M58" s="135">
        <f t="shared" si="11"/>
        <v>0.35714285714285715</v>
      </c>
      <c r="N58" s="41"/>
      <c r="O58" s="45">
        <v>6</v>
      </c>
      <c r="P58" s="45">
        <v>6</v>
      </c>
      <c r="Q58" s="45">
        <f t="shared" si="4"/>
        <v>48</v>
      </c>
      <c r="R58" s="45">
        <f t="shared" si="5"/>
        <v>48</v>
      </c>
    </row>
    <row r="59" spans="1:18" ht="21" customHeight="1" x14ac:dyDescent="0.3">
      <c r="A59" s="353"/>
      <c r="B59" s="338"/>
      <c r="C59" s="7" t="s">
        <v>57</v>
      </c>
      <c r="D59" s="7">
        <v>174</v>
      </c>
      <c r="E59" s="39">
        <v>0.3</v>
      </c>
      <c r="F59" s="45">
        <f>D59*'1-Hypothèses'!B$5*E59</f>
        <v>261</v>
      </c>
      <c r="G59" s="10" t="s">
        <v>262</v>
      </c>
      <c r="H59" s="30">
        <v>24</v>
      </c>
      <c r="I59" s="46">
        <f>H59/E59/'1-Hypothèses'!B$5</f>
        <v>16</v>
      </c>
      <c r="J59" s="39">
        <f t="shared" si="10"/>
        <v>9.1954022988505746E-2</v>
      </c>
      <c r="K59" s="45">
        <v>24</v>
      </c>
      <c r="L59" s="48">
        <f>K59/E59/'1-Hypothèses'!B$5</f>
        <v>16</v>
      </c>
      <c r="M59" s="135">
        <f t="shared" si="11"/>
        <v>9.1954022988505746E-2</v>
      </c>
      <c r="N59" s="41"/>
      <c r="O59" s="45">
        <v>6</v>
      </c>
      <c r="P59" s="45">
        <v>6</v>
      </c>
      <c r="Q59" s="45">
        <f t="shared" si="4"/>
        <v>48</v>
      </c>
      <c r="R59" s="45">
        <f t="shared" si="5"/>
        <v>48</v>
      </c>
    </row>
    <row r="60" spans="1:18" ht="55" customHeight="1" x14ac:dyDescent="0.3">
      <c r="A60" s="353"/>
      <c r="B60" s="338"/>
      <c r="C60" s="37" t="s">
        <v>83</v>
      </c>
      <c r="D60" s="37">
        <v>17</v>
      </c>
      <c r="E60" s="95">
        <f>'1-Hypothèses'!C13</f>
        <v>0.6</v>
      </c>
      <c r="F60" s="117">
        <f>D60*'1-Hypothèses'!B$5*E60</f>
        <v>51</v>
      </c>
      <c r="G60" s="10" t="s">
        <v>262</v>
      </c>
      <c r="H60" s="119">
        <v>24</v>
      </c>
      <c r="I60" s="202">
        <f>H60/E60/'1-Hypothèses'!B$5</f>
        <v>8</v>
      </c>
      <c r="J60" s="95">
        <f t="shared" si="10"/>
        <v>0.47058823529411764</v>
      </c>
      <c r="K60" s="117">
        <v>24</v>
      </c>
      <c r="L60" s="96">
        <f>K60/E60/'1-Hypothèses'!B$5</f>
        <v>8</v>
      </c>
      <c r="M60" s="273">
        <f t="shared" si="11"/>
        <v>0.47058823529411764</v>
      </c>
      <c r="N60" s="41"/>
      <c r="O60" s="45">
        <v>6</v>
      </c>
      <c r="P60" s="45">
        <v>6</v>
      </c>
      <c r="Q60" s="45">
        <f t="shared" si="4"/>
        <v>48</v>
      </c>
      <c r="R60" s="45">
        <f t="shared" si="5"/>
        <v>48</v>
      </c>
    </row>
    <row r="61" spans="1:18" ht="55" customHeight="1" x14ac:dyDescent="0.3">
      <c r="A61" s="363" t="s">
        <v>304</v>
      </c>
      <c r="B61" s="363" t="s">
        <v>159</v>
      </c>
      <c r="C61" s="100" t="s">
        <v>298</v>
      </c>
      <c r="D61" s="97">
        <v>12</v>
      </c>
      <c r="E61" s="107">
        <f>'1-Hypothèses'!C14</f>
        <v>0.9</v>
      </c>
      <c r="F61" s="187">
        <f>D61*'1-Hypothèses'!B$5*E61</f>
        <v>54</v>
      </c>
      <c r="G61" s="82" t="s">
        <v>215</v>
      </c>
      <c r="H61" s="109">
        <f>'1-Hypothèses'!B$22*('Annexe - Contenu'!H$29+'Annexe - Contenu'!H$33+'Annexe - Contenu'!H$36+'Annexe - Contenu'!H$39++'Annexe - Contenu'!H$41+'Annexe - Contenu'!H$43+'Annexe - Contenu'!H$45+'Annexe - Contenu'!H$48+'Annexe - Contenu'!H$49+'Annexe - Contenu'!H$54+'Annexe - Contenu'!H$58)</f>
        <v>33.942067830280244</v>
      </c>
      <c r="I61" s="260">
        <f>H61/E61/'1-Hypothèses'!B$5</f>
        <v>7.5426817400622763</v>
      </c>
      <c r="J61" s="185">
        <f t="shared" si="10"/>
        <v>0.6285568116718564</v>
      </c>
      <c r="K61" s="111">
        <f>'1-Hypothèses'!B$22*('Annexe - Contenu'!K$29+'Annexe - Contenu'!K$33+'Annexe - Contenu'!K$36+'Annexe - Contenu'!K$39++'Annexe - Contenu'!K$41+'Annexe - Contenu'!K$43+'Annexe - Contenu'!K$45+'Annexe - Contenu'!K$48+'Annexe - Contenu'!K$49+'Annexe - Contenu'!K$54+'Annexe - Contenu'!K$58)</f>
        <v>42.329645814884231</v>
      </c>
      <c r="L61" s="110">
        <f>K61/E61/'1-Hypothèses'!B$5</f>
        <v>9.4065879588631613</v>
      </c>
      <c r="M61" s="281">
        <f t="shared" si="11"/>
        <v>0.78388232990526341</v>
      </c>
      <c r="N61" s="76"/>
      <c r="O61" s="23">
        <f>'1-Hypothèses'!B$22*('Annexe - Contenu'!O$29+'Annexe - Contenu'!O$33+'Annexe - Contenu'!O$36+'Annexe - Contenu'!O$39++'Annexe - Contenu'!O$41+'Annexe - Contenu'!O$43+'Annexe - Contenu'!O$45+'Annexe - Contenu'!O$48+'Annexe - Contenu'!O$49+'Annexe - Contenu'!O$54+'Annexe - Contenu'!O$58)</f>
        <v>23.458216573837124</v>
      </c>
      <c r="P61" s="23">
        <f>'1-Hypothèses'!B$22*('Annexe - Contenu'!P$29+'Annexe - Contenu'!P$33+'Annexe - Contenu'!P$36+'Annexe - Contenu'!P$39++'Annexe - Contenu'!P$41+'Annexe - Contenu'!P$43+'Annexe - Contenu'!P$45+'Annexe - Contenu'!P$48+'Annexe - Contenu'!P$49+'Annexe - Contenu'!P$54+'Annexe - Contenu'!P$58)</f>
        <v>59.57900908043554</v>
      </c>
      <c r="Q61" s="23">
        <f t="shared" si="4"/>
        <v>67.884135660560489</v>
      </c>
      <c r="R61" s="23">
        <f t="shared" si="5"/>
        <v>84.659291629768461</v>
      </c>
    </row>
    <row r="62" spans="1:18" ht="55" customHeight="1" x14ac:dyDescent="0.3">
      <c r="A62" s="363"/>
      <c r="B62" s="363"/>
      <c r="C62" s="100" t="s">
        <v>299</v>
      </c>
      <c r="D62" s="97" t="s">
        <v>365</v>
      </c>
      <c r="E62" s="107">
        <f>'1-Hypothèses'!C14</f>
        <v>0.9</v>
      </c>
      <c r="F62" s="97" t="s">
        <v>365</v>
      </c>
      <c r="G62" s="82" t="s">
        <v>215</v>
      </c>
      <c r="H62" s="109">
        <f>'1-Hypothèses'!B$22*('Annexe - Contenu'!H$29+'Annexe - Contenu'!H$33+'Annexe - Contenu'!H$36+'Annexe - Contenu'!H$39++'Annexe - Contenu'!H$41+'Annexe - Contenu'!H$43+'Annexe - Contenu'!H$45+'Annexe - Contenu'!H$48+'Annexe - Contenu'!H$49+'Annexe - Contenu'!H$54+'Annexe - Contenu'!H$58)</f>
        <v>33.942067830280244</v>
      </c>
      <c r="I62" s="260">
        <f>H62/E62/'1-Hypothèses'!B$5</f>
        <v>7.5426817400622763</v>
      </c>
      <c r="J62" s="97" t="s">
        <v>365</v>
      </c>
      <c r="K62" s="111">
        <f>'1-Hypothèses'!B$22*('Annexe - Contenu'!K$29+'Annexe - Contenu'!K$33+'Annexe - Contenu'!K$36+'Annexe - Contenu'!K$39++'Annexe - Contenu'!K$41+'Annexe - Contenu'!K$43+'Annexe - Contenu'!K$45+'Annexe - Contenu'!K$48+'Annexe - Contenu'!K$49+'Annexe - Contenu'!K$54+'Annexe - Contenu'!K$58)</f>
        <v>42.329645814884231</v>
      </c>
      <c r="L62" s="110">
        <f>K62/E62/'1-Hypothèses'!B$5</f>
        <v>9.4065879588631613</v>
      </c>
      <c r="M62" s="97" t="s">
        <v>365</v>
      </c>
      <c r="N62" s="76"/>
      <c r="O62" s="23">
        <f>'1-Hypothèses'!B$22*('Annexe - Contenu'!O$29+'Annexe - Contenu'!O$33+'Annexe - Contenu'!O$36+'Annexe - Contenu'!O$39++'Annexe - Contenu'!O$41+'Annexe - Contenu'!O$43+'Annexe - Contenu'!O$45+'Annexe - Contenu'!O$48+'Annexe - Contenu'!O$49+'Annexe - Contenu'!O$54+'Annexe - Contenu'!O$58)</f>
        <v>23.458216573837124</v>
      </c>
      <c r="P62" s="23">
        <f>'1-Hypothèses'!B$22*('Annexe - Contenu'!P$29+'Annexe - Contenu'!P$33+'Annexe - Contenu'!P$36+'Annexe - Contenu'!P$39++'Annexe - Contenu'!P$41+'Annexe - Contenu'!P$43+'Annexe - Contenu'!P$45+'Annexe - Contenu'!P$48+'Annexe - Contenu'!P$49+'Annexe - Contenu'!P$54+'Annexe - Contenu'!P$58)</f>
        <v>59.57900908043554</v>
      </c>
      <c r="Q62" s="23">
        <f t="shared" si="4"/>
        <v>67.884135660560489</v>
      </c>
      <c r="R62" s="23">
        <f t="shared" si="5"/>
        <v>84.659291629768461</v>
      </c>
    </row>
    <row r="63" spans="1:18" ht="55" customHeight="1" x14ac:dyDescent="0.3">
      <c r="A63" s="363"/>
      <c r="B63" s="363"/>
      <c r="C63" s="100" t="s">
        <v>300</v>
      </c>
      <c r="D63" s="97" t="s">
        <v>365</v>
      </c>
      <c r="E63" s="107">
        <f>'1-Hypothèses'!C14</f>
        <v>0.9</v>
      </c>
      <c r="F63" s="97" t="s">
        <v>365</v>
      </c>
      <c r="G63" s="82" t="s">
        <v>215</v>
      </c>
      <c r="H63" s="109">
        <f>'1-Hypothèses'!B$22*('Annexe - Contenu'!H$29+'Annexe - Contenu'!H$33+'Annexe - Contenu'!H$36+'Annexe - Contenu'!H$39++'Annexe - Contenu'!H$41+'Annexe - Contenu'!H$43+'Annexe - Contenu'!H$45+'Annexe - Contenu'!H$48+'Annexe - Contenu'!H$49+'Annexe - Contenu'!H$54+'Annexe - Contenu'!H$58)</f>
        <v>33.942067830280244</v>
      </c>
      <c r="I63" s="260">
        <f>H63/E63/'1-Hypothèses'!B$5</f>
        <v>7.5426817400622763</v>
      </c>
      <c r="J63" s="97" t="s">
        <v>365</v>
      </c>
      <c r="K63" s="111">
        <f>'1-Hypothèses'!B$22*('Annexe - Contenu'!K$29+'Annexe - Contenu'!K$33+'Annexe - Contenu'!K$36+'Annexe - Contenu'!K$39++'Annexe - Contenu'!K$41+'Annexe - Contenu'!K$43+'Annexe - Contenu'!K$45+'Annexe - Contenu'!K$48+'Annexe - Contenu'!K$49+'Annexe - Contenu'!K$54+'Annexe - Contenu'!K$58)</f>
        <v>42.329645814884231</v>
      </c>
      <c r="L63" s="110">
        <f>K63/E63/'1-Hypothèses'!B$5</f>
        <v>9.4065879588631613</v>
      </c>
      <c r="M63" s="97" t="s">
        <v>365</v>
      </c>
      <c r="N63" s="76"/>
      <c r="O63" s="23">
        <f>'1-Hypothèses'!B$22*('Annexe - Contenu'!O$29+'Annexe - Contenu'!O$33+'Annexe - Contenu'!O$36+'Annexe - Contenu'!O$39++'Annexe - Contenu'!O$41+'Annexe - Contenu'!O$43+'Annexe - Contenu'!O$45+'Annexe - Contenu'!O$48+'Annexe - Contenu'!O$49+'Annexe - Contenu'!O$54+'Annexe - Contenu'!O$58)</f>
        <v>23.458216573837124</v>
      </c>
      <c r="P63" s="23">
        <f>'1-Hypothèses'!B$22*('Annexe - Contenu'!P$29+'Annexe - Contenu'!P$33+'Annexe - Contenu'!P$36+'Annexe - Contenu'!P$39++'Annexe - Contenu'!P$41+'Annexe - Contenu'!P$43+'Annexe - Contenu'!P$45+'Annexe - Contenu'!P$48+'Annexe - Contenu'!P$49+'Annexe - Contenu'!P$54+'Annexe - Contenu'!P$58)</f>
        <v>59.57900908043554</v>
      </c>
      <c r="Q63" s="23">
        <f t="shared" si="4"/>
        <v>67.884135660560489</v>
      </c>
      <c r="R63" s="23">
        <f t="shared" si="5"/>
        <v>84.659291629768461</v>
      </c>
    </row>
    <row r="64" spans="1:18" ht="55" customHeight="1" x14ac:dyDescent="0.3">
      <c r="A64" s="363"/>
      <c r="B64" s="363"/>
      <c r="C64" s="100" t="s">
        <v>301</v>
      </c>
      <c r="D64" s="97" t="s">
        <v>365</v>
      </c>
      <c r="E64" s="97" t="s">
        <v>365</v>
      </c>
      <c r="F64" s="97" t="s">
        <v>365</v>
      </c>
      <c r="G64" s="82" t="s">
        <v>215</v>
      </c>
      <c r="H64" s="109"/>
      <c r="I64" s="260"/>
      <c r="J64" s="107"/>
      <c r="K64" s="111"/>
      <c r="L64" s="110"/>
      <c r="M64" s="274"/>
      <c r="N64" s="76" t="s">
        <v>439</v>
      </c>
      <c r="O64" s="23"/>
      <c r="P64" s="23"/>
      <c r="Q64" s="23"/>
      <c r="R64" s="23"/>
    </row>
    <row r="65" spans="1:18" ht="55" customHeight="1" x14ac:dyDescent="0.3">
      <c r="A65" s="332"/>
      <c r="B65" s="332"/>
      <c r="C65" s="220" t="s">
        <v>302</v>
      </c>
      <c r="D65" s="97" t="s">
        <v>365</v>
      </c>
      <c r="E65" s="97" t="s">
        <v>365</v>
      </c>
      <c r="F65" s="97" t="s">
        <v>365</v>
      </c>
      <c r="G65" s="198" t="s">
        <v>215</v>
      </c>
      <c r="H65" s="109"/>
      <c r="I65" s="260"/>
      <c r="J65" s="107"/>
      <c r="K65" s="111"/>
      <c r="L65" s="110"/>
      <c r="M65" s="274"/>
      <c r="N65" s="112"/>
      <c r="O65" s="23"/>
      <c r="P65" s="23"/>
      <c r="Q65" s="23"/>
      <c r="R65" s="23"/>
    </row>
    <row r="66" spans="1:18" x14ac:dyDescent="0.3">
      <c r="A66" s="384" t="s">
        <v>164</v>
      </c>
      <c r="B66" s="384"/>
      <c r="C66" s="384"/>
      <c r="D66" s="384"/>
      <c r="E66" s="384"/>
      <c r="F66" s="384"/>
      <c r="G66" s="384"/>
      <c r="H66" s="384"/>
      <c r="I66" s="384"/>
      <c r="J66" s="384"/>
      <c r="K66" s="384"/>
      <c r="L66" s="384"/>
      <c r="M66" s="384"/>
      <c r="N66" s="384"/>
      <c r="O66" s="384"/>
      <c r="P66" s="384"/>
      <c r="Q66" s="384"/>
      <c r="R66" s="384"/>
    </row>
    <row r="67" spans="1:18" ht="84.5" customHeight="1" x14ac:dyDescent="0.3">
      <c r="A67" s="338" t="s">
        <v>165</v>
      </c>
      <c r="B67" s="343" t="s">
        <v>170</v>
      </c>
      <c r="C67" s="254" t="s">
        <v>167</v>
      </c>
      <c r="D67" s="42">
        <f>'1-Hypothèses'!B16</f>
        <v>25</v>
      </c>
      <c r="E67" s="80">
        <f>'1-Hypothèses'!C$16</f>
        <v>0.95</v>
      </c>
      <c r="F67" s="81">
        <f>D67*E67*'1-Hypothèses'!B$5</f>
        <v>118.75</v>
      </c>
      <c r="G67" s="250" t="s">
        <v>192</v>
      </c>
      <c r="H67" s="251">
        <v>49.341336333639589</v>
      </c>
      <c r="I67" s="252">
        <f>H67/E67/'1-Hypothèses'!B$5</f>
        <v>10.38764975445044</v>
      </c>
      <c r="J67" s="80">
        <f>I67/D67</f>
        <v>0.41550599017801759</v>
      </c>
      <c r="K67" s="81">
        <v>80.87023699651003</v>
      </c>
      <c r="L67" s="210">
        <f>K67/E67/'1-Hypothèses'!B$5</f>
        <v>17.025313051896852</v>
      </c>
      <c r="M67" s="80">
        <f>L67/D67</f>
        <v>0.68101252207587404</v>
      </c>
      <c r="N67" s="217" t="s">
        <v>166</v>
      </c>
      <c r="O67" s="23">
        <v>-0.18562326369831794</v>
      </c>
      <c r="P67" s="23">
        <v>47.403529661857746</v>
      </c>
      <c r="Q67" s="23">
        <f>I67*10*E67</f>
        <v>98.682672667279164</v>
      </c>
      <c r="R67" s="23">
        <f>L67*10*E67</f>
        <v>161.74047399302009</v>
      </c>
    </row>
    <row r="68" spans="1:18" ht="84.5" customHeight="1" x14ac:dyDescent="0.3">
      <c r="A68" s="338"/>
      <c r="B68" s="343"/>
      <c r="C68" s="7" t="s">
        <v>168</v>
      </c>
      <c r="D68" s="7">
        <v>16</v>
      </c>
      <c r="E68" s="39">
        <f>'1-Hypothèses'!C$16</f>
        <v>0.95</v>
      </c>
      <c r="F68" s="45">
        <f>D68*E68*'1-Hypothèses'!B$5</f>
        <v>76</v>
      </c>
      <c r="G68" s="10" t="s">
        <v>192</v>
      </c>
      <c r="H68" s="30">
        <v>49.341336333639589</v>
      </c>
      <c r="I68" s="46">
        <f>H68/E68/'1-Hypothèses'!B$5</f>
        <v>10.38764975445044</v>
      </c>
      <c r="J68" s="39">
        <f t="shared" ref="J68:J116" si="12">I68/D68</f>
        <v>0.64922810965315247</v>
      </c>
      <c r="K68" s="45">
        <v>80.87023699651003</v>
      </c>
      <c r="L68" s="48">
        <f>K68/E68/'1-Hypothèses'!B$5</f>
        <v>17.025313051896852</v>
      </c>
      <c r="M68" s="39">
        <f t="shared" ref="M68:M116" si="13">L68/D68</f>
        <v>1.0640820657435532</v>
      </c>
      <c r="N68" s="94"/>
      <c r="O68" s="23">
        <v>-0.18562326369831794</v>
      </c>
      <c r="P68" s="23">
        <v>47.403529661857746</v>
      </c>
      <c r="Q68" s="23">
        <f t="shared" ref="Q68:Q116" si="14">I68*10*E68</f>
        <v>98.682672667279164</v>
      </c>
      <c r="R68" s="23">
        <f t="shared" ref="R68:R116" si="15">L68*10*E68</f>
        <v>161.74047399302009</v>
      </c>
    </row>
    <row r="69" spans="1:18" ht="84.5" customHeight="1" x14ac:dyDescent="0.3">
      <c r="A69" s="339"/>
      <c r="B69" s="356"/>
      <c r="C69" s="7" t="s">
        <v>169</v>
      </c>
      <c r="D69" s="7">
        <v>28</v>
      </c>
      <c r="E69" s="39">
        <f>'1-Hypothèses'!C$16</f>
        <v>0.95</v>
      </c>
      <c r="F69" s="45">
        <f>D69*E69*'1-Hypothèses'!B$5</f>
        <v>133</v>
      </c>
      <c r="G69" s="10" t="s">
        <v>192</v>
      </c>
      <c r="H69" s="30">
        <v>49.341336333639589</v>
      </c>
      <c r="I69" s="46">
        <f>H69/E69/'1-Hypothèses'!B$5</f>
        <v>10.38764975445044</v>
      </c>
      <c r="J69" s="39">
        <f t="shared" si="12"/>
        <v>0.37098749123037283</v>
      </c>
      <c r="K69" s="45">
        <v>80.87023699651003</v>
      </c>
      <c r="L69" s="48">
        <f>K69/E69/'1-Hypothèses'!B$5</f>
        <v>17.025313051896852</v>
      </c>
      <c r="M69" s="39">
        <f t="shared" si="13"/>
        <v>0.6080468947106018</v>
      </c>
      <c r="N69" s="94"/>
      <c r="O69" s="23">
        <v>-0.18562326369831794</v>
      </c>
      <c r="P69" s="23">
        <v>47.403529661857746</v>
      </c>
      <c r="Q69" s="23">
        <f t="shared" si="14"/>
        <v>98.682672667279164</v>
      </c>
      <c r="R69" s="23">
        <f t="shared" si="15"/>
        <v>161.74047399302009</v>
      </c>
    </row>
    <row r="70" spans="1:18" ht="54" customHeight="1" x14ac:dyDescent="0.3">
      <c r="A70" s="365" t="s">
        <v>133</v>
      </c>
      <c r="B70" s="365" t="s">
        <v>151</v>
      </c>
      <c r="C70" s="97" t="s">
        <v>117</v>
      </c>
      <c r="D70" s="97">
        <f>25*3</f>
        <v>75</v>
      </c>
      <c r="E70" s="90">
        <f>'1-Hypothèses'!C$16</f>
        <v>0.95</v>
      </c>
      <c r="F70" s="92">
        <f>D70*E70*'1-Hypothèses'!B$5</f>
        <v>356.25</v>
      </c>
      <c r="G70" s="180" t="s">
        <v>211</v>
      </c>
      <c r="H70" s="91">
        <f>'Annexe - Volume'!G78</f>
        <v>96</v>
      </c>
      <c r="I70" s="128">
        <f>H70/E70/'1-Hypothèses'!B$5</f>
        <v>20.210526315789473</v>
      </c>
      <c r="J70" s="90">
        <f t="shared" si="12"/>
        <v>0.26947368421052631</v>
      </c>
      <c r="K70" s="92">
        <f>'Annexe - Volume'!J78</f>
        <v>96</v>
      </c>
      <c r="L70" s="181">
        <f>K70/E70/'1-Hypothèses'!B$5</f>
        <v>20.210526315789473</v>
      </c>
      <c r="M70" s="90">
        <f t="shared" si="13"/>
        <v>0.26947368421052631</v>
      </c>
      <c r="N70" s="122"/>
      <c r="O70" s="23">
        <f>'Annexe - Volume'!N78</f>
        <v>0</v>
      </c>
      <c r="P70" s="23">
        <f>'Annexe - Volume'!O78</f>
        <v>0</v>
      </c>
      <c r="Q70" s="23">
        <f t="shared" si="14"/>
        <v>192</v>
      </c>
      <c r="R70" s="23">
        <f t="shared" si="15"/>
        <v>192</v>
      </c>
    </row>
    <row r="71" spans="1:18" ht="54" customHeight="1" x14ac:dyDescent="0.3">
      <c r="A71" s="365"/>
      <c r="B71" s="365"/>
      <c r="C71" s="97" t="s">
        <v>118</v>
      </c>
      <c r="D71" s="97">
        <v>24</v>
      </c>
      <c r="E71" s="90">
        <f>'1-Hypothèses'!C$16</f>
        <v>0.95</v>
      </c>
      <c r="F71" s="92">
        <f>D71*E71*'1-Hypothèses'!B$5</f>
        <v>113.99999999999999</v>
      </c>
      <c r="G71" s="180" t="s">
        <v>263</v>
      </c>
      <c r="H71" s="91">
        <f>'Annexe - Volume'!G79</f>
        <v>96</v>
      </c>
      <c r="I71" s="128">
        <f>H71/E71/'1-Hypothèses'!B$5</f>
        <v>20.210526315789473</v>
      </c>
      <c r="J71" s="90">
        <f t="shared" si="12"/>
        <v>0.84210526315789469</v>
      </c>
      <c r="K71" s="92">
        <f>'Annexe - Volume'!J79</f>
        <v>96</v>
      </c>
      <c r="L71" s="181">
        <f>K71/E71/'1-Hypothèses'!B$5</f>
        <v>20.210526315789473</v>
      </c>
      <c r="M71" s="90">
        <f t="shared" si="13"/>
        <v>0.84210526315789469</v>
      </c>
      <c r="N71" s="122"/>
      <c r="O71" s="23">
        <f>'Annexe - Volume'!O79</f>
        <v>0</v>
      </c>
      <c r="P71" s="23">
        <f>'Annexe - Volume'!O79</f>
        <v>0</v>
      </c>
      <c r="Q71" s="23">
        <f t="shared" si="14"/>
        <v>192</v>
      </c>
      <c r="R71" s="23">
        <f t="shared" si="15"/>
        <v>192</v>
      </c>
    </row>
    <row r="72" spans="1:18" ht="54" customHeight="1" x14ac:dyDescent="0.3">
      <c r="A72" s="365"/>
      <c r="B72" s="365"/>
      <c r="C72" s="99" t="s">
        <v>134</v>
      </c>
      <c r="D72" s="97">
        <f>'1-Hypothèses'!B16</f>
        <v>25</v>
      </c>
      <c r="E72" s="90">
        <f>'1-Hypothèses'!C$16</f>
        <v>0.95</v>
      </c>
      <c r="F72" s="92">
        <f>D72*E72*'1-Hypothèses'!B$5</f>
        <v>118.75</v>
      </c>
      <c r="G72" s="180" t="s">
        <v>264</v>
      </c>
      <c r="H72" s="91">
        <f>'Annexe - Volume'!G80</f>
        <v>96</v>
      </c>
      <c r="I72" s="128">
        <f>H72/E72/'1-Hypothèses'!B$5</f>
        <v>20.210526315789473</v>
      </c>
      <c r="J72" s="90">
        <f t="shared" si="12"/>
        <v>0.80842105263157893</v>
      </c>
      <c r="K72" s="92">
        <f>'Annexe - Volume'!J80</f>
        <v>96</v>
      </c>
      <c r="L72" s="181">
        <f>K72/E72/'1-Hypothèses'!B$5</f>
        <v>20.210526315789473</v>
      </c>
      <c r="M72" s="90">
        <f t="shared" si="13"/>
        <v>0.80842105263157893</v>
      </c>
      <c r="N72" s="122"/>
      <c r="O72" s="23">
        <f>'Annexe - Volume'!O80</f>
        <v>0</v>
      </c>
      <c r="P72" s="23">
        <f>'Annexe - Volume'!O80</f>
        <v>0</v>
      </c>
      <c r="Q72" s="23">
        <f t="shared" si="14"/>
        <v>192</v>
      </c>
      <c r="R72" s="23">
        <f t="shared" si="15"/>
        <v>192</v>
      </c>
    </row>
    <row r="73" spans="1:18" ht="54" customHeight="1" x14ac:dyDescent="0.3">
      <c r="A73" s="365"/>
      <c r="B73" s="365"/>
      <c r="C73" s="99" t="s">
        <v>119</v>
      </c>
      <c r="D73" s="97">
        <v>24</v>
      </c>
      <c r="E73" s="90">
        <f>'1-Hypothèses'!C$16</f>
        <v>0.95</v>
      </c>
      <c r="F73" s="92">
        <f>D73*E73*'1-Hypothèses'!B$5</f>
        <v>113.99999999999999</v>
      </c>
      <c r="G73" s="180" t="s">
        <v>265</v>
      </c>
      <c r="H73" s="91">
        <f>'Annexe - Volume'!G81</f>
        <v>96</v>
      </c>
      <c r="I73" s="128">
        <f>H73/E73/'1-Hypothèses'!B$5</f>
        <v>20.210526315789473</v>
      </c>
      <c r="J73" s="90">
        <f t="shared" si="12"/>
        <v>0.84210526315789469</v>
      </c>
      <c r="K73" s="92">
        <f>'Annexe - Volume'!J81</f>
        <v>96</v>
      </c>
      <c r="L73" s="181">
        <f>K73/E73/'1-Hypothèses'!B$5</f>
        <v>20.210526315789473</v>
      </c>
      <c r="M73" s="90">
        <f t="shared" si="13"/>
        <v>0.84210526315789469</v>
      </c>
      <c r="N73" s="122"/>
      <c r="O73" s="23">
        <f>'Annexe - Volume'!O81</f>
        <v>0</v>
      </c>
      <c r="P73" s="23">
        <f>'Annexe - Volume'!O81</f>
        <v>0</v>
      </c>
      <c r="Q73" s="23">
        <f t="shared" si="14"/>
        <v>192</v>
      </c>
      <c r="R73" s="23">
        <f t="shared" si="15"/>
        <v>192</v>
      </c>
    </row>
    <row r="74" spans="1:18" ht="54" customHeight="1" x14ac:dyDescent="0.3">
      <c r="A74" s="365"/>
      <c r="B74" s="365"/>
      <c r="C74" s="99" t="s">
        <v>127</v>
      </c>
      <c r="D74" s="97">
        <f>'1-Hypothèses'!B16</f>
        <v>25</v>
      </c>
      <c r="E74" s="90">
        <f>'1-Hypothèses'!C$16</f>
        <v>0.95</v>
      </c>
      <c r="F74" s="92">
        <f>D74*E74*'1-Hypothèses'!B$5</f>
        <v>118.75</v>
      </c>
      <c r="G74" s="180" t="s">
        <v>266</v>
      </c>
      <c r="H74" s="91">
        <f>'Annexe - Volume'!G82</f>
        <v>96</v>
      </c>
      <c r="I74" s="128">
        <f>H74/E74/'1-Hypothèses'!B$5</f>
        <v>20.210526315789473</v>
      </c>
      <c r="J74" s="90">
        <f t="shared" si="12"/>
        <v>0.80842105263157893</v>
      </c>
      <c r="K74" s="92">
        <f>'Annexe - Volume'!J82</f>
        <v>96</v>
      </c>
      <c r="L74" s="181">
        <f>K74/E74/'1-Hypothèses'!B$5</f>
        <v>20.210526315789473</v>
      </c>
      <c r="M74" s="90">
        <f t="shared" si="13"/>
        <v>0.80842105263157893</v>
      </c>
      <c r="N74" s="122"/>
      <c r="O74" s="23">
        <f>'Annexe - Volume'!O82</f>
        <v>0</v>
      </c>
      <c r="P74" s="23">
        <f>'Annexe - Volume'!O82</f>
        <v>0</v>
      </c>
      <c r="Q74" s="23">
        <f t="shared" si="14"/>
        <v>192</v>
      </c>
      <c r="R74" s="23">
        <f t="shared" si="15"/>
        <v>192</v>
      </c>
    </row>
    <row r="75" spans="1:18" ht="54" customHeight="1" x14ac:dyDescent="0.3">
      <c r="A75" s="365"/>
      <c r="B75" s="365"/>
      <c r="C75" s="99" t="s">
        <v>131</v>
      </c>
      <c r="D75" s="97">
        <f>'1-Hypothèses'!B16</f>
        <v>25</v>
      </c>
      <c r="E75" s="90">
        <f>'1-Hypothèses'!C$16</f>
        <v>0.95</v>
      </c>
      <c r="F75" s="92">
        <f>D75*E75*'1-Hypothèses'!B$5</f>
        <v>118.75</v>
      </c>
      <c r="G75" s="180" t="s">
        <v>267</v>
      </c>
      <c r="H75" s="91">
        <f>'Annexe - Volume'!G83</f>
        <v>96</v>
      </c>
      <c r="I75" s="128">
        <f>H75/E75/'1-Hypothèses'!B$5</f>
        <v>20.210526315789473</v>
      </c>
      <c r="J75" s="90">
        <f t="shared" si="12"/>
        <v>0.80842105263157893</v>
      </c>
      <c r="K75" s="92">
        <f>'Annexe - Volume'!J83</f>
        <v>96</v>
      </c>
      <c r="L75" s="181">
        <f>K75/E75/'1-Hypothèses'!B$5</f>
        <v>20.210526315789473</v>
      </c>
      <c r="M75" s="90">
        <f t="shared" si="13"/>
        <v>0.80842105263157893</v>
      </c>
      <c r="N75" s="122"/>
      <c r="O75" s="23">
        <f>'Annexe - Volume'!O83</f>
        <v>0</v>
      </c>
      <c r="P75" s="23">
        <f>'Annexe - Volume'!O83</f>
        <v>0</v>
      </c>
      <c r="Q75" s="23">
        <f t="shared" si="14"/>
        <v>192</v>
      </c>
      <c r="R75" s="23">
        <f t="shared" si="15"/>
        <v>192</v>
      </c>
    </row>
    <row r="76" spans="1:18" ht="28" x14ac:dyDescent="0.3">
      <c r="A76" s="381" t="s">
        <v>135</v>
      </c>
      <c r="B76" s="303" t="s">
        <v>141</v>
      </c>
      <c r="C76" s="7" t="s">
        <v>137</v>
      </c>
      <c r="D76" s="7">
        <v>60</v>
      </c>
      <c r="E76" s="39">
        <f>'1-Hypothèses'!C$16</f>
        <v>0.95</v>
      </c>
      <c r="F76" s="45">
        <f>D76*E76*'1-Hypothèses'!B$5</f>
        <v>285</v>
      </c>
      <c r="G76" s="10" t="s">
        <v>212</v>
      </c>
      <c r="H76" s="30">
        <f>'Annexe - Volume'!G84</f>
        <v>27</v>
      </c>
      <c r="I76" s="46">
        <f>H76/E76/'1-Hypothèses'!B$5</f>
        <v>5.6842105263157894</v>
      </c>
      <c r="J76" s="39">
        <f t="shared" si="12"/>
        <v>9.4736842105263161E-2</v>
      </c>
      <c r="K76" s="45">
        <f>'Annexe - Volume'!J84</f>
        <v>27</v>
      </c>
      <c r="L76" s="48">
        <f>K76/E76/'1-Hypothèses'!B$5</f>
        <v>5.6842105263157894</v>
      </c>
      <c r="M76" s="39">
        <f t="shared" si="13"/>
        <v>9.4736842105263161E-2</v>
      </c>
      <c r="N76" s="116"/>
      <c r="O76" s="23">
        <f>'Annexe - Volume'!O84</f>
        <v>81</v>
      </c>
      <c r="P76" s="23">
        <f>'Annexe - Volume'!O84</f>
        <v>81</v>
      </c>
      <c r="Q76" s="23">
        <f t="shared" si="14"/>
        <v>53.999999999999993</v>
      </c>
      <c r="R76" s="23">
        <f t="shared" si="15"/>
        <v>53.999999999999993</v>
      </c>
    </row>
    <row r="77" spans="1:18" ht="28" x14ac:dyDescent="0.3">
      <c r="A77" s="381"/>
      <c r="B77" s="303"/>
      <c r="C77" s="7" t="s">
        <v>128</v>
      </c>
      <c r="D77" s="7">
        <f>'1-Hypothèses'!B16</f>
        <v>25</v>
      </c>
      <c r="E77" s="39">
        <f>'1-Hypothèses'!C$16</f>
        <v>0.95</v>
      </c>
      <c r="F77" s="45">
        <f>D77*E77*'1-Hypothèses'!B$5</f>
        <v>118.75</v>
      </c>
      <c r="G77" s="10" t="s">
        <v>212</v>
      </c>
      <c r="H77" s="30">
        <f>'Annexe - Volume'!G85</f>
        <v>27</v>
      </c>
      <c r="I77" s="46">
        <f>H77/E77/'1-Hypothèses'!B$5</f>
        <v>5.6842105263157894</v>
      </c>
      <c r="J77" s="39">
        <f t="shared" si="12"/>
        <v>0.22736842105263158</v>
      </c>
      <c r="K77" s="45">
        <f>'Annexe - Volume'!J85</f>
        <v>27</v>
      </c>
      <c r="L77" s="48">
        <f>K77/E77/'1-Hypothèses'!B$5</f>
        <v>5.6842105263157894</v>
      </c>
      <c r="M77" s="39">
        <f t="shared" si="13"/>
        <v>0.22736842105263158</v>
      </c>
      <c r="N77" s="116"/>
      <c r="O77" s="23">
        <f>'Annexe - Volume'!O85</f>
        <v>81</v>
      </c>
      <c r="P77" s="23">
        <f>'Annexe - Volume'!O85</f>
        <v>81</v>
      </c>
      <c r="Q77" s="23">
        <f t="shared" si="14"/>
        <v>53.999999999999993</v>
      </c>
      <c r="R77" s="23">
        <f t="shared" si="15"/>
        <v>53.999999999999993</v>
      </c>
    </row>
    <row r="78" spans="1:18" ht="28" x14ac:dyDescent="0.3">
      <c r="A78" s="381"/>
      <c r="B78" s="303"/>
      <c r="C78" s="7" t="s">
        <v>139</v>
      </c>
      <c r="D78" s="7">
        <f>28+28</f>
        <v>56</v>
      </c>
      <c r="E78" s="39">
        <f>'1-Hypothèses'!C$16</f>
        <v>0.95</v>
      </c>
      <c r="F78" s="45">
        <f>D78*E78*'1-Hypothèses'!B$5</f>
        <v>266</v>
      </c>
      <c r="G78" s="10" t="s">
        <v>212</v>
      </c>
      <c r="H78" s="30">
        <f>'Annexe - Volume'!G86</f>
        <v>27</v>
      </c>
      <c r="I78" s="46">
        <f>H78/E78/'1-Hypothèses'!B$5</f>
        <v>5.6842105263157894</v>
      </c>
      <c r="J78" s="39">
        <f t="shared" si="12"/>
        <v>0.10150375939849623</v>
      </c>
      <c r="K78" s="45">
        <f>'Annexe - Volume'!J86</f>
        <v>27</v>
      </c>
      <c r="L78" s="48">
        <f>K78/E78/'1-Hypothèses'!B$5</f>
        <v>5.6842105263157894</v>
      </c>
      <c r="M78" s="39">
        <f t="shared" si="13"/>
        <v>0.10150375939849623</v>
      </c>
      <c r="N78" s="116"/>
      <c r="O78" s="23">
        <f>'Annexe - Volume'!O86</f>
        <v>81</v>
      </c>
      <c r="P78" s="23">
        <f>'Annexe - Volume'!O86</f>
        <v>81</v>
      </c>
      <c r="Q78" s="23">
        <f t="shared" si="14"/>
        <v>53.999999999999993</v>
      </c>
      <c r="R78" s="23">
        <f t="shared" si="15"/>
        <v>53.999999999999993</v>
      </c>
    </row>
    <row r="79" spans="1:18" ht="28" x14ac:dyDescent="0.3">
      <c r="A79" s="381"/>
      <c r="B79" s="303"/>
      <c r="C79" s="7" t="s">
        <v>140</v>
      </c>
      <c r="D79" s="7">
        <v>230</v>
      </c>
      <c r="E79" s="39">
        <f>'1-Hypothèses'!C$16</f>
        <v>0.95</v>
      </c>
      <c r="F79" s="45">
        <f>D79*E79*'1-Hypothèses'!B$5</f>
        <v>1092.5</v>
      </c>
      <c r="G79" s="10" t="s">
        <v>212</v>
      </c>
      <c r="H79" s="30">
        <f>'Annexe - Volume'!G87</f>
        <v>27</v>
      </c>
      <c r="I79" s="46">
        <f>H79/E79/'1-Hypothèses'!B$5</f>
        <v>5.6842105263157894</v>
      </c>
      <c r="J79" s="39">
        <f t="shared" si="12"/>
        <v>2.4713958810068649E-2</v>
      </c>
      <c r="K79" s="45">
        <f>'Annexe - Volume'!J87</f>
        <v>27</v>
      </c>
      <c r="L79" s="48">
        <f>K79/E79/'1-Hypothèses'!B$5</f>
        <v>5.6842105263157894</v>
      </c>
      <c r="M79" s="39">
        <f t="shared" si="13"/>
        <v>2.4713958810068649E-2</v>
      </c>
      <c r="N79" s="116"/>
      <c r="O79" s="23">
        <f>'Annexe - Volume'!O87</f>
        <v>81</v>
      </c>
      <c r="P79" s="23">
        <f>'Annexe - Volume'!O87</f>
        <v>81</v>
      </c>
      <c r="Q79" s="23">
        <f t="shared" si="14"/>
        <v>53.999999999999993</v>
      </c>
      <c r="R79" s="23">
        <f t="shared" si="15"/>
        <v>53.999999999999993</v>
      </c>
    </row>
    <row r="80" spans="1:18" ht="28" x14ac:dyDescent="0.3">
      <c r="A80" s="381"/>
      <c r="B80" s="303" t="s">
        <v>142</v>
      </c>
      <c r="C80" s="7" t="s">
        <v>127</v>
      </c>
      <c r="D80" s="7">
        <f>'1-Hypothèses'!B16</f>
        <v>25</v>
      </c>
      <c r="E80" s="39">
        <f>'1-Hypothèses'!C$16</f>
        <v>0.95</v>
      </c>
      <c r="F80" s="45">
        <f>D80*E80*'1-Hypothèses'!B$5</f>
        <v>118.75</v>
      </c>
      <c r="G80" s="10" t="s">
        <v>212</v>
      </c>
      <c r="H80" s="30">
        <f>'Annexe - Volume'!G88</f>
        <v>27</v>
      </c>
      <c r="I80" s="46">
        <f>H80/E80/'1-Hypothèses'!B$5</f>
        <v>5.6842105263157894</v>
      </c>
      <c r="J80" s="39">
        <f t="shared" si="12"/>
        <v>0.22736842105263158</v>
      </c>
      <c r="K80" s="45">
        <f>'Annexe - Volume'!J88</f>
        <v>27</v>
      </c>
      <c r="L80" s="48">
        <f>K80/E80/'1-Hypothèses'!B$5</f>
        <v>5.6842105263157894</v>
      </c>
      <c r="M80" s="39">
        <f t="shared" si="13"/>
        <v>0.22736842105263158</v>
      </c>
      <c r="N80" s="116"/>
      <c r="O80" s="23">
        <f>'Annexe - Volume'!O88</f>
        <v>81</v>
      </c>
      <c r="P80" s="23">
        <f>'Annexe - Volume'!O88</f>
        <v>81</v>
      </c>
      <c r="Q80" s="23">
        <f t="shared" si="14"/>
        <v>53.999999999999993</v>
      </c>
      <c r="R80" s="23">
        <f t="shared" si="15"/>
        <v>53.999999999999993</v>
      </c>
    </row>
    <row r="81" spans="1:18" ht="28" x14ac:dyDescent="0.3">
      <c r="A81" s="381"/>
      <c r="B81" s="303"/>
      <c r="C81" s="7" t="s">
        <v>143</v>
      </c>
      <c r="D81" s="7">
        <f>'1-Hypothèses'!B16</f>
        <v>25</v>
      </c>
      <c r="E81" s="39">
        <f>'1-Hypothèses'!C$16</f>
        <v>0.95</v>
      </c>
      <c r="F81" s="45">
        <f>D81*E81*'1-Hypothèses'!B$5</f>
        <v>118.75</v>
      </c>
      <c r="G81" s="10" t="s">
        <v>212</v>
      </c>
      <c r="H81" s="30">
        <f>'Annexe - Volume'!G89</f>
        <v>27</v>
      </c>
      <c r="I81" s="46">
        <f>H81/E81/'1-Hypothèses'!B$5</f>
        <v>5.6842105263157894</v>
      </c>
      <c r="J81" s="39">
        <f t="shared" si="12"/>
        <v>0.22736842105263158</v>
      </c>
      <c r="K81" s="45">
        <f>'Annexe - Volume'!J89</f>
        <v>27</v>
      </c>
      <c r="L81" s="48">
        <f>K81/E81/'1-Hypothèses'!B$5</f>
        <v>5.6842105263157894</v>
      </c>
      <c r="M81" s="39">
        <f t="shared" si="13"/>
        <v>0.22736842105263158</v>
      </c>
      <c r="N81" s="116"/>
      <c r="O81" s="23">
        <f>'Annexe - Volume'!O89</f>
        <v>81</v>
      </c>
      <c r="P81" s="23">
        <f>'Annexe - Volume'!O89</f>
        <v>81</v>
      </c>
      <c r="Q81" s="23">
        <f t="shared" si="14"/>
        <v>53.999999999999993</v>
      </c>
      <c r="R81" s="23">
        <f t="shared" si="15"/>
        <v>53.999999999999993</v>
      </c>
    </row>
    <row r="82" spans="1:18" ht="44" customHeight="1" x14ac:dyDescent="0.3">
      <c r="A82" s="371" t="s">
        <v>145</v>
      </c>
      <c r="B82" s="365" t="s">
        <v>146</v>
      </c>
      <c r="C82" s="99" t="s">
        <v>148</v>
      </c>
      <c r="D82" s="97">
        <v>12</v>
      </c>
      <c r="E82" s="90">
        <f>'1-Hypothèses'!C$16</f>
        <v>0.95</v>
      </c>
      <c r="F82" s="92">
        <f>D82*E82*'1-Hypothèses'!B$5</f>
        <v>56.999999999999993</v>
      </c>
      <c r="G82" s="180" t="s">
        <v>213</v>
      </c>
      <c r="H82" s="91">
        <f>'Annexe - Volume'!G90</f>
        <v>19.5</v>
      </c>
      <c r="I82" s="128">
        <f>H82/E82/'1-Hypothèses'!B$5</f>
        <v>4.1052631578947372</v>
      </c>
      <c r="J82" s="90">
        <f t="shared" si="12"/>
        <v>0.34210526315789475</v>
      </c>
      <c r="K82" s="92">
        <f>'Annexe - Volume'!J90</f>
        <v>19.5</v>
      </c>
      <c r="L82" s="181">
        <f>K82/E82/'1-Hypothèses'!B$5</f>
        <v>4.1052631578947372</v>
      </c>
      <c r="M82" s="90">
        <f t="shared" si="13"/>
        <v>0.34210526315789475</v>
      </c>
      <c r="N82" s="122"/>
      <c r="O82" s="23">
        <f>'Annexe - Volume'!O90</f>
        <v>19.5</v>
      </c>
      <c r="P82" s="23">
        <f>'Annexe - Volume'!O90</f>
        <v>19.5</v>
      </c>
      <c r="Q82" s="23">
        <f t="shared" si="14"/>
        <v>39</v>
      </c>
      <c r="R82" s="23">
        <f t="shared" si="15"/>
        <v>39</v>
      </c>
    </row>
    <row r="83" spans="1:18" ht="44" customHeight="1" x14ac:dyDescent="0.3">
      <c r="A83" s="371"/>
      <c r="B83" s="365"/>
      <c r="C83" s="99" t="s">
        <v>149</v>
      </c>
      <c r="D83" s="97">
        <v>25</v>
      </c>
      <c r="E83" s="90">
        <f>'1-Hypothèses'!C$16</f>
        <v>0.95</v>
      </c>
      <c r="F83" s="92">
        <f>D83*E83*'1-Hypothèses'!B$5</f>
        <v>118.75</v>
      </c>
      <c r="G83" s="180" t="s">
        <v>213</v>
      </c>
      <c r="H83" s="91">
        <f>'Annexe - Volume'!G91</f>
        <v>19.5</v>
      </c>
      <c r="I83" s="128">
        <f>H83/E83/'1-Hypothèses'!B$5</f>
        <v>4.1052631578947372</v>
      </c>
      <c r="J83" s="90">
        <f t="shared" si="12"/>
        <v>0.16421052631578947</v>
      </c>
      <c r="K83" s="92">
        <f>'Annexe - Volume'!J91</f>
        <v>19.5</v>
      </c>
      <c r="L83" s="181">
        <f>K83/E83/'1-Hypothèses'!B$5</f>
        <v>4.1052631578947372</v>
      </c>
      <c r="M83" s="90">
        <f t="shared" si="13"/>
        <v>0.16421052631578947</v>
      </c>
      <c r="N83" s="122"/>
      <c r="O83" s="23">
        <f>'Annexe - Volume'!O91</f>
        <v>19.5</v>
      </c>
      <c r="P83" s="23">
        <f>'Annexe - Volume'!O91</f>
        <v>19.5</v>
      </c>
      <c r="Q83" s="23">
        <f t="shared" si="14"/>
        <v>39</v>
      </c>
      <c r="R83" s="23">
        <f t="shared" si="15"/>
        <v>39</v>
      </c>
    </row>
    <row r="84" spans="1:18" ht="44" customHeight="1" x14ac:dyDescent="0.3">
      <c r="A84" s="371"/>
      <c r="B84" s="365"/>
      <c r="C84" s="97" t="s">
        <v>117</v>
      </c>
      <c r="D84" s="97">
        <f>3*25</f>
        <v>75</v>
      </c>
      <c r="E84" s="90">
        <f>'1-Hypothèses'!C$16</f>
        <v>0.95</v>
      </c>
      <c r="F84" s="92">
        <f>D84*E84*'1-Hypothèses'!B$5</f>
        <v>356.25</v>
      </c>
      <c r="G84" s="180" t="s">
        <v>213</v>
      </c>
      <c r="H84" s="91">
        <f>'Annexe - Volume'!G92</f>
        <v>19.5</v>
      </c>
      <c r="I84" s="128">
        <f>H84/E84/'1-Hypothèses'!B$5</f>
        <v>4.1052631578947372</v>
      </c>
      <c r="J84" s="90">
        <f t="shared" si="12"/>
        <v>5.473684210526316E-2</v>
      </c>
      <c r="K84" s="92">
        <f>'Annexe - Volume'!J92</f>
        <v>19.5</v>
      </c>
      <c r="L84" s="181">
        <f>K84/E84/'1-Hypothèses'!B$5</f>
        <v>4.1052631578947372</v>
      </c>
      <c r="M84" s="90">
        <f t="shared" si="13"/>
        <v>5.473684210526316E-2</v>
      </c>
      <c r="N84" s="122"/>
      <c r="O84" s="23">
        <f>'Annexe - Volume'!O92</f>
        <v>19.5</v>
      </c>
      <c r="P84" s="23">
        <f>'Annexe - Volume'!O92</f>
        <v>19.5</v>
      </c>
      <c r="Q84" s="23">
        <f t="shared" si="14"/>
        <v>39</v>
      </c>
      <c r="R84" s="23">
        <f t="shared" si="15"/>
        <v>39</v>
      </c>
    </row>
    <row r="85" spans="1:18" ht="44" customHeight="1" x14ac:dyDescent="0.3">
      <c r="A85" s="371"/>
      <c r="B85" s="365"/>
      <c r="C85" s="134" t="s">
        <v>116</v>
      </c>
      <c r="D85" s="97">
        <v>25</v>
      </c>
      <c r="E85" s="90">
        <f>'1-Hypothèses'!C$16</f>
        <v>0.95</v>
      </c>
      <c r="F85" s="92">
        <f>D85*E85*'1-Hypothèses'!B$5</f>
        <v>118.75</v>
      </c>
      <c r="G85" s="180" t="s">
        <v>213</v>
      </c>
      <c r="H85" s="91">
        <f>'Annexe - Volume'!G93</f>
        <v>19.5</v>
      </c>
      <c r="I85" s="128">
        <f>H85/E85/'1-Hypothèses'!B$5</f>
        <v>4.1052631578947372</v>
      </c>
      <c r="J85" s="90">
        <f t="shared" si="12"/>
        <v>0.16421052631578947</v>
      </c>
      <c r="K85" s="92">
        <f>'Annexe - Volume'!J93</f>
        <v>19.5</v>
      </c>
      <c r="L85" s="181">
        <f>K85/E85/'1-Hypothèses'!B$5</f>
        <v>4.1052631578947372</v>
      </c>
      <c r="M85" s="90">
        <f t="shared" si="13"/>
        <v>0.16421052631578947</v>
      </c>
      <c r="N85" s="122"/>
      <c r="O85" s="23">
        <f>'Annexe - Volume'!O93</f>
        <v>19.5</v>
      </c>
      <c r="P85" s="23">
        <f>'Annexe - Volume'!O93</f>
        <v>19.5</v>
      </c>
      <c r="Q85" s="23">
        <f t="shared" si="14"/>
        <v>39</v>
      </c>
      <c r="R85" s="23">
        <f t="shared" si="15"/>
        <v>39</v>
      </c>
    </row>
    <row r="86" spans="1:18" ht="44" customHeight="1" x14ac:dyDescent="0.3">
      <c r="A86" s="371"/>
      <c r="B86" s="365"/>
      <c r="C86" s="134" t="s">
        <v>150</v>
      </c>
      <c r="D86" s="97">
        <v>34</v>
      </c>
      <c r="E86" s="90">
        <f>'1-Hypothèses'!C$16</f>
        <v>0.95</v>
      </c>
      <c r="F86" s="92">
        <f>D86*E86*'1-Hypothèses'!B$5</f>
        <v>161.5</v>
      </c>
      <c r="G86" s="180" t="s">
        <v>213</v>
      </c>
      <c r="H86" s="91">
        <f>'Annexe - Volume'!G94</f>
        <v>19.5</v>
      </c>
      <c r="I86" s="128">
        <f>H86/E86/'1-Hypothèses'!B$5</f>
        <v>4.1052631578947372</v>
      </c>
      <c r="J86" s="90">
        <f t="shared" si="12"/>
        <v>0.12074303405572756</v>
      </c>
      <c r="K86" s="92">
        <f>'Annexe - Volume'!J94</f>
        <v>19.5</v>
      </c>
      <c r="L86" s="181">
        <f>K86/E86/'1-Hypothèses'!B$5</f>
        <v>4.1052631578947372</v>
      </c>
      <c r="M86" s="90">
        <f t="shared" si="13"/>
        <v>0.12074303405572756</v>
      </c>
      <c r="N86" s="122"/>
      <c r="O86" s="23">
        <f>'Annexe - Volume'!O94</f>
        <v>19.5</v>
      </c>
      <c r="P86" s="23">
        <f>'Annexe - Volume'!O94</f>
        <v>19.5</v>
      </c>
      <c r="Q86" s="23">
        <f t="shared" si="14"/>
        <v>39</v>
      </c>
      <c r="R86" s="23">
        <f t="shared" si="15"/>
        <v>39</v>
      </c>
    </row>
    <row r="87" spans="1:18" ht="44" customHeight="1" x14ac:dyDescent="0.3">
      <c r="A87" s="371"/>
      <c r="B87" s="365"/>
      <c r="C87" s="99" t="s">
        <v>119</v>
      </c>
      <c r="D87" s="97">
        <v>24</v>
      </c>
      <c r="E87" s="90">
        <f>'1-Hypothèses'!C$16</f>
        <v>0.95</v>
      </c>
      <c r="F87" s="92">
        <f>D87*E87*'1-Hypothèses'!B$5</f>
        <v>113.99999999999999</v>
      </c>
      <c r="G87" s="180" t="s">
        <v>213</v>
      </c>
      <c r="H87" s="91">
        <f>'Annexe - Volume'!G95</f>
        <v>19.5</v>
      </c>
      <c r="I87" s="128">
        <f>H87/E87/'1-Hypothèses'!B$5</f>
        <v>4.1052631578947372</v>
      </c>
      <c r="J87" s="90">
        <f t="shared" si="12"/>
        <v>0.17105263157894737</v>
      </c>
      <c r="K87" s="92">
        <f>'Annexe - Volume'!J95</f>
        <v>19.5</v>
      </c>
      <c r="L87" s="181">
        <f>K87/E87/'1-Hypothèses'!B$5</f>
        <v>4.1052631578947372</v>
      </c>
      <c r="M87" s="90">
        <f t="shared" si="13"/>
        <v>0.17105263157894737</v>
      </c>
      <c r="N87" s="122"/>
      <c r="O87" s="23">
        <f>'Annexe - Volume'!O95</f>
        <v>19.5</v>
      </c>
      <c r="P87" s="23">
        <f>'Annexe - Volume'!O95</f>
        <v>19.5</v>
      </c>
      <c r="Q87" s="23">
        <f t="shared" si="14"/>
        <v>39</v>
      </c>
      <c r="R87" s="23">
        <f t="shared" si="15"/>
        <v>39</v>
      </c>
    </row>
    <row r="88" spans="1:18" ht="46.5" customHeight="1" x14ac:dyDescent="0.3">
      <c r="A88" s="303" t="s">
        <v>161</v>
      </c>
      <c r="B88" s="303" t="s">
        <v>156</v>
      </c>
      <c r="C88" s="7" t="s">
        <v>124</v>
      </c>
      <c r="D88" s="38">
        <f>'1-Hypothèses'!B16</f>
        <v>25</v>
      </c>
      <c r="E88" s="39">
        <f>'1-Hypothèses'!C$16</f>
        <v>0.95</v>
      </c>
      <c r="F88" s="45">
        <f>D88*E88*'1-Hypothèses'!B$5</f>
        <v>118.75</v>
      </c>
      <c r="G88" s="10" t="s">
        <v>214</v>
      </c>
      <c r="H88" s="30">
        <f>'Annexe - Volume'!G96</f>
        <v>56.666666666666657</v>
      </c>
      <c r="I88" s="46">
        <f>H88/E88/'1-Hypothèses'!B$5</f>
        <v>11.929824561403507</v>
      </c>
      <c r="J88" s="39">
        <f t="shared" si="12"/>
        <v>0.47719298245614028</v>
      </c>
      <c r="K88" s="45">
        <f>'Annexe - Volume'!J96</f>
        <v>113.33333333333331</v>
      </c>
      <c r="L88" s="48">
        <f>K88/E88/'1-Hypothèses'!B$5</f>
        <v>23.859649122807014</v>
      </c>
      <c r="M88" s="39">
        <f t="shared" si="13"/>
        <v>0.95438596491228056</v>
      </c>
      <c r="N88" s="116"/>
      <c r="O88" s="23">
        <f>'Annexe - Volume'!O96</f>
        <v>56.666666666666686</v>
      </c>
      <c r="P88" s="23">
        <f>'Annexe - Volume'!O96</f>
        <v>56.666666666666686</v>
      </c>
      <c r="Q88" s="23">
        <f t="shared" si="14"/>
        <v>113.33333333333331</v>
      </c>
      <c r="R88" s="23">
        <f t="shared" si="15"/>
        <v>226.66666666666663</v>
      </c>
    </row>
    <row r="89" spans="1:18" ht="46.5" customHeight="1" x14ac:dyDescent="0.3">
      <c r="A89" s="303"/>
      <c r="B89" s="303"/>
      <c r="C89" s="114" t="s">
        <v>116</v>
      </c>
      <c r="D89" s="7">
        <f>'1-Hypothèses'!B16</f>
        <v>25</v>
      </c>
      <c r="E89" s="39">
        <f>'1-Hypothèses'!C$16</f>
        <v>0.95</v>
      </c>
      <c r="F89" s="45">
        <f>D89*E89*'1-Hypothèses'!B$5</f>
        <v>118.75</v>
      </c>
      <c r="G89" s="10" t="s">
        <v>214</v>
      </c>
      <c r="H89" s="30">
        <f>'Annexe - Volume'!G97</f>
        <v>56.666666666666657</v>
      </c>
      <c r="I89" s="46">
        <f>H89/E89/'1-Hypothèses'!B$5</f>
        <v>11.929824561403507</v>
      </c>
      <c r="J89" s="39">
        <f t="shared" si="12"/>
        <v>0.47719298245614028</v>
      </c>
      <c r="K89" s="45">
        <f>'Annexe - Volume'!J97</f>
        <v>113.33333333333331</v>
      </c>
      <c r="L89" s="48">
        <f>K89/E89/'1-Hypothèses'!B$5</f>
        <v>23.859649122807014</v>
      </c>
      <c r="M89" s="39">
        <f t="shared" si="13"/>
        <v>0.95438596491228056</v>
      </c>
      <c r="N89" s="116"/>
      <c r="O89" s="23">
        <f>'Annexe - Volume'!O97</f>
        <v>56.666666666666686</v>
      </c>
      <c r="P89" s="23">
        <f>'Annexe - Volume'!O97</f>
        <v>56.666666666666686</v>
      </c>
      <c r="Q89" s="23">
        <f t="shared" si="14"/>
        <v>113.33333333333331</v>
      </c>
      <c r="R89" s="23">
        <f t="shared" si="15"/>
        <v>226.66666666666663</v>
      </c>
    </row>
    <row r="90" spans="1:18" ht="46.5" customHeight="1" x14ac:dyDescent="0.3">
      <c r="A90" s="303"/>
      <c r="B90" s="303"/>
      <c r="C90" s="114" t="s">
        <v>158</v>
      </c>
      <c r="D90" s="7">
        <f>3*'1-Hypothèses'!B16</f>
        <v>75</v>
      </c>
      <c r="E90" s="39">
        <f>'1-Hypothèses'!C$16</f>
        <v>0.95</v>
      </c>
      <c r="F90" s="45">
        <f>D90*E90*'1-Hypothèses'!B$5</f>
        <v>356.25</v>
      </c>
      <c r="G90" s="10" t="s">
        <v>214</v>
      </c>
      <c r="H90" s="30">
        <f>'Annexe - Volume'!G98</f>
        <v>56.666666666666657</v>
      </c>
      <c r="I90" s="46">
        <f>H90/E90/'1-Hypothèses'!B$5</f>
        <v>11.929824561403507</v>
      </c>
      <c r="J90" s="39">
        <f t="shared" si="12"/>
        <v>0.1590643274853801</v>
      </c>
      <c r="K90" s="45">
        <f>'Annexe - Volume'!J98</f>
        <v>113.33333333333331</v>
      </c>
      <c r="L90" s="48">
        <f>K90/E90/'1-Hypothèses'!B$5</f>
        <v>23.859649122807014</v>
      </c>
      <c r="M90" s="39">
        <f t="shared" si="13"/>
        <v>0.31812865497076021</v>
      </c>
      <c r="N90" s="116"/>
      <c r="O90" s="23">
        <f>'Annexe - Volume'!O98</f>
        <v>56.666666666666686</v>
      </c>
      <c r="P90" s="23">
        <f>'Annexe - Volume'!O98</f>
        <v>56.666666666666686</v>
      </c>
      <c r="Q90" s="23">
        <f t="shared" si="14"/>
        <v>113.33333333333331</v>
      </c>
      <c r="R90" s="23">
        <f t="shared" si="15"/>
        <v>226.66666666666663</v>
      </c>
    </row>
    <row r="91" spans="1:18" ht="46.5" customHeight="1" x14ac:dyDescent="0.3">
      <c r="A91" s="303"/>
      <c r="B91" s="303"/>
      <c r="C91" s="114" t="s">
        <v>149</v>
      </c>
      <c r="D91" s="7">
        <f>'1-Hypothèses'!B16</f>
        <v>25</v>
      </c>
      <c r="E91" s="39">
        <f>'1-Hypothèses'!C$16</f>
        <v>0.95</v>
      </c>
      <c r="F91" s="45">
        <f>D91*E91*'1-Hypothèses'!B$5</f>
        <v>118.75</v>
      </c>
      <c r="G91" s="10" t="s">
        <v>214</v>
      </c>
      <c r="H91" s="30">
        <f>'Annexe - Volume'!G99</f>
        <v>56.666666666666657</v>
      </c>
      <c r="I91" s="46">
        <f>H91/E91/'1-Hypothèses'!B$5</f>
        <v>11.929824561403507</v>
      </c>
      <c r="J91" s="39">
        <f t="shared" si="12"/>
        <v>0.47719298245614028</v>
      </c>
      <c r="K91" s="45">
        <f>'Annexe - Volume'!J99</f>
        <v>113.33333333333331</v>
      </c>
      <c r="L91" s="48">
        <f>K91/E91/'1-Hypothèses'!B$5</f>
        <v>23.859649122807014</v>
      </c>
      <c r="M91" s="39">
        <f t="shared" si="13"/>
        <v>0.95438596491228056</v>
      </c>
      <c r="N91" s="116"/>
      <c r="O91" s="23">
        <f>'Annexe - Volume'!O99</f>
        <v>56.666666666666686</v>
      </c>
      <c r="P91" s="23">
        <f>'Annexe - Volume'!O99</f>
        <v>56.666666666666686</v>
      </c>
      <c r="Q91" s="23">
        <f t="shared" si="14"/>
        <v>113.33333333333331</v>
      </c>
      <c r="R91" s="23">
        <f t="shared" si="15"/>
        <v>226.66666666666663</v>
      </c>
    </row>
    <row r="92" spans="1:18" ht="46.5" customHeight="1" x14ac:dyDescent="0.3">
      <c r="A92" s="303"/>
      <c r="B92" s="303"/>
      <c r="C92" s="114" t="s">
        <v>119</v>
      </c>
      <c r="D92" s="7">
        <v>24</v>
      </c>
      <c r="E92" s="39">
        <f>'1-Hypothèses'!C$16</f>
        <v>0.95</v>
      </c>
      <c r="F92" s="45">
        <f>D92*E92*'1-Hypothèses'!B$5</f>
        <v>113.99999999999999</v>
      </c>
      <c r="G92" s="10" t="s">
        <v>214</v>
      </c>
      <c r="H92" s="30">
        <f>'Annexe - Volume'!G100</f>
        <v>56.666666666666657</v>
      </c>
      <c r="I92" s="46">
        <f>H92/E92/'1-Hypothèses'!B$5</f>
        <v>11.929824561403507</v>
      </c>
      <c r="J92" s="39">
        <f t="shared" si="12"/>
        <v>0.49707602339181278</v>
      </c>
      <c r="K92" s="45">
        <f>'Annexe - Volume'!J100</f>
        <v>113.33333333333331</v>
      </c>
      <c r="L92" s="48">
        <f>K92/E92/'1-Hypothèses'!B$5</f>
        <v>23.859649122807014</v>
      </c>
      <c r="M92" s="39">
        <f t="shared" si="13"/>
        <v>0.99415204678362556</v>
      </c>
      <c r="N92" s="116"/>
      <c r="O92" s="23">
        <f>'Annexe - Volume'!O100</f>
        <v>56.666666666666686</v>
      </c>
      <c r="P92" s="23">
        <f>'Annexe - Volume'!O100</f>
        <v>56.666666666666686</v>
      </c>
      <c r="Q92" s="23">
        <f t="shared" si="14"/>
        <v>113.33333333333331</v>
      </c>
      <c r="R92" s="23">
        <f t="shared" si="15"/>
        <v>226.66666666666663</v>
      </c>
    </row>
    <row r="93" spans="1:18" ht="46.5" customHeight="1" x14ac:dyDescent="0.3">
      <c r="A93" s="303"/>
      <c r="B93" s="303"/>
      <c r="C93" s="114" t="s">
        <v>118</v>
      </c>
      <c r="D93" s="7">
        <v>24</v>
      </c>
      <c r="E93" s="39">
        <f>'1-Hypothèses'!C$16</f>
        <v>0.95</v>
      </c>
      <c r="F93" s="45">
        <f>D93*E93*'1-Hypothèses'!B$5</f>
        <v>113.99999999999999</v>
      </c>
      <c r="G93" s="10" t="s">
        <v>214</v>
      </c>
      <c r="H93" s="30">
        <f>'Annexe - Volume'!G101</f>
        <v>56.666666666666657</v>
      </c>
      <c r="I93" s="46">
        <f>H93/E93/'1-Hypothèses'!B$5</f>
        <v>11.929824561403507</v>
      </c>
      <c r="J93" s="39">
        <f t="shared" si="12"/>
        <v>0.49707602339181278</v>
      </c>
      <c r="K93" s="45">
        <f>'Annexe - Volume'!J101</f>
        <v>113.33333333333331</v>
      </c>
      <c r="L93" s="48">
        <f>K93/E93/'1-Hypothèses'!B$5</f>
        <v>23.859649122807014</v>
      </c>
      <c r="M93" s="39">
        <f t="shared" si="13"/>
        <v>0.99415204678362556</v>
      </c>
      <c r="N93" s="116"/>
      <c r="O93" s="23">
        <f>'Annexe - Volume'!O101</f>
        <v>56.666666666666686</v>
      </c>
      <c r="P93" s="23">
        <f>'Annexe - Volume'!O101</f>
        <v>56.666666666666686</v>
      </c>
      <c r="Q93" s="23">
        <f t="shared" si="14"/>
        <v>113.33333333333331</v>
      </c>
      <c r="R93" s="23">
        <f t="shared" si="15"/>
        <v>226.66666666666663</v>
      </c>
    </row>
    <row r="94" spans="1:18" ht="46.5" customHeight="1" x14ac:dyDescent="0.3">
      <c r="A94" s="303"/>
      <c r="B94" s="303"/>
      <c r="C94" s="114" t="s">
        <v>132</v>
      </c>
      <c r="D94" s="7">
        <f>'1-Hypothèses'!B16</f>
        <v>25</v>
      </c>
      <c r="E94" s="39">
        <f>'1-Hypothèses'!C$16</f>
        <v>0.95</v>
      </c>
      <c r="F94" s="45">
        <f>D94*E94*'1-Hypothèses'!B$5</f>
        <v>118.75</v>
      </c>
      <c r="G94" s="10" t="s">
        <v>214</v>
      </c>
      <c r="H94" s="30">
        <f>'Annexe - Volume'!G102</f>
        <v>56.666666666666657</v>
      </c>
      <c r="I94" s="46">
        <f>H94/E94/'1-Hypothèses'!B$5</f>
        <v>11.929824561403507</v>
      </c>
      <c r="J94" s="39">
        <f t="shared" si="12"/>
        <v>0.47719298245614028</v>
      </c>
      <c r="K94" s="45">
        <f>'Annexe - Volume'!J102</f>
        <v>113.33333333333331</v>
      </c>
      <c r="L94" s="48">
        <f>K94/E94/'1-Hypothèses'!B$5</f>
        <v>23.859649122807014</v>
      </c>
      <c r="M94" s="39">
        <f t="shared" si="13"/>
        <v>0.95438596491228056</v>
      </c>
      <c r="N94" s="116"/>
      <c r="O94" s="23">
        <f>'Annexe - Volume'!O102</f>
        <v>56.666666666666686</v>
      </c>
      <c r="P94" s="23">
        <f>'Annexe - Volume'!O102</f>
        <v>56.666666666666686</v>
      </c>
      <c r="Q94" s="23">
        <f t="shared" si="14"/>
        <v>113.33333333333331</v>
      </c>
      <c r="R94" s="23">
        <f t="shared" si="15"/>
        <v>226.66666666666663</v>
      </c>
    </row>
    <row r="95" spans="1:18" ht="28" x14ac:dyDescent="0.3">
      <c r="A95" s="371" t="s">
        <v>160</v>
      </c>
      <c r="B95" s="365" t="s">
        <v>159</v>
      </c>
      <c r="C95" s="97" t="s">
        <v>136</v>
      </c>
      <c r="D95" s="97">
        <v>25</v>
      </c>
      <c r="E95" s="90">
        <f>'1-Hypothèses'!C$16</f>
        <v>0.95</v>
      </c>
      <c r="F95" s="92">
        <f>D95*E95*'1-Hypothèses'!B$5</f>
        <v>118.75</v>
      </c>
      <c r="G95" s="180" t="s">
        <v>215</v>
      </c>
      <c r="H95" s="91">
        <f>'Annexe - Volume'!G103+(H67*'1-Hypothèses'!B$21)</f>
        <v>2.4670668166819798</v>
      </c>
      <c r="I95" s="128">
        <f>H95/E95/'1-Hypothèses'!B$5</f>
        <v>0.51938248772252205</v>
      </c>
      <c r="J95" s="90">
        <f t="shared" si="12"/>
        <v>2.077529950890088E-2</v>
      </c>
      <c r="K95" s="92">
        <f>'Annexe - Volume'!J103+(K67*'1-Hypothèses'!B$21)</f>
        <v>21.279385581443439</v>
      </c>
      <c r="L95" s="181">
        <f>K95/E95/'1-Hypothèses'!B$5</f>
        <v>4.4798706487249351</v>
      </c>
      <c r="M95" s="90">
        <f t="shared" si="13"/>
        <v>0.17919482594899741</v>
      </c>
      <c r="N95" s="122"/>
      <c r="O95" s="23">
        <f>'Annexe - Volume'!O103</f>
        <v>12.82157105576348</v>
      </c>
      <c r="P95" s="23">
        <f>'Annexe - Volume'!O103</f>
        <v>12.82157105576348</v>
      </c>
      <c r="Q95" s="23">
        <f t="shared" si="14"/>
        <v>4.9341336333639596</v>
      </c>
      <c r="R95" s="23">
        <f t="shared" si="15"/>
        <v>42.558771162886877</v>
      </c>
    </row>
    <row r="96" spans="1:18" ht="28" x14ac:dyDescent="0.3">
      <c r="A96" s="371"/>
      <c r="B96" s="365"/>
      <c r="C96" s="97" t="s">
        <v>152</v>
      </c>
      <c r="D96" s="97">
        <v>25</v>
      </c>
      <c r="E96" s="90">
        <f>'1-Hypothèses'!C$16</f>
        <v>0.95</v>
      </c>
      <c r="F96" s="92">
        <f>D96*E96*'1-Hypothèses'!B$5</f>
        <v>118.75</v>
      </c>
      <c r="G96" s="180" t="s">
        <v>215</v>
      </c>
      <c r="H96" s="91">
        <f>'Annexe - Volume'!G104+(H68*'1-Hypothèses'!B$21)</f>
        <v>16.027162065072385</v>
      </c>
      <c r="I96" s="128">
        <f>H96/E96/'1-Hypothèses'!B$5</f>
        <v>3.3741393821205024</v>
      </c>
      <c r="J96" s="90">
        <f t="shared" si="12"/>
        <v>0.13496557528482009</v>
      </c>
      <c r="K96" s="92">
        <f>'Annexe - Volume'!J104+(K68*'1-Hypothèses'!B$21)</f>
        <v>21.279385581443439</v>
      </c>
      <c r="L96" s="181">
        <f>K96/E96/'1-Hypothèses'!B$5</f>
        <v>4.4798706487249351</v>
      </c>
      <c r="M96" s="90">
        <f t="shared" si="13"/>
        <v>0.17919482594899741</v>
      </c>
      <c r="N96" s="122"/>
      <c r="O96" s="23">
        <f>'Annexe - Volume'!O104</f>
        <v>12.82157105576348</v>
      </c>
      <c r="P96" s="23">
        <f>'Annexe - Volume'!O104</f>
        <v>12.82157105576348</v>
      </c>
      <c r="Q96" s="23">
        <f t="shared" si="14"/>
        <v>32.054324130144771</v>
      </c>
      <c r="R96" s="23">
        <f t="shared" si="15"/>
        <v>42.558771162886877</v>
      </c>
    </row>
    <row r="97" spans="1:18" ht="42" x14ac:dyDescent="0.3">
      <c r="A97" s="371"/>
      <c r="B97" s="365"/>
      <c r="C97" s="97" t="s">
        <v>155</v>
      </c>
      <c r="D97" s="97">
        <v>18</v>
      </c>
      <c r="E97" s="90">
        <f>'1-Hypothèses'!C$16</f>
        <v>0.95</v>
      </c>
      <c r="F97" s="92">
        <f>D97*E97*'1-Hypothèses'!B$5</f>
        <v>85.499999999999986</v>
      </c>
      <c r="G97" s="180" t="s">
        <v>215</v>
      </c>
      <c r="H97" s="91">
        <f>'Annexe - Volume'!G105+(H69*'1-Hypothèses'!B$21)</f>
        <v>16.027162065072385</v>
      </c>
      <c r="I97" s="128">
        <f>H97/E97/'1-Hypothèses'!B$5</f>
        <v>3.3741393821205024</v>
      </c>
      <c r="J97" s="90">
        <f t="shared" si="12"/>
        <v>0.18745218789558346</v>
      </c>
      <c r="K97" s="92">
        <f>'Annexe - Volume'!J105+(K69*'1-Hypothèses'!B$21)</f>
        <v>21.279385581443439</v>
      </c>
      <c r="L97" s="181">
        <f>K97/E97/'1-Hypothèses'!B$5</f>
        <v>4.4798706487249351</v>
      </c>
      <c r="M97" s="90">
        <f t="shared" si="13"/>
        <v>0.24888170270694085</v>
      </c>
      <c r="N97" s="122"/>
      <c r="O97" s="23">
        <f>'Annexe - Volume'!O105</f>
        <v>12.82157105576348</v>
      </c>
      <c r="P97" s="23">
        <f>'Annexe - Volume'!O105</f>
        <v>12.82157105576348</v>
      </c>
      <c r="Q97" s="23">
        <f t="shared" si="14"/>
        <v>32.054324130144771</v>
      </c>
      <c r="R97" s="23">
        <f t="shared" si="15"/>
        <v>42.558771162886877</v>
      </c>
    </row>
    <row r="98" spans="1:18" ht="28" x14ac:dyDescent="0.3">
      <c r="A98" s="371"/>
      <c r="B98" s="365"/>
      <c r="C98" s="97" t="s">
        <v>153</v>
      </c>
      <c r="D98" s="98">
        <v>25</v>
      </c>
      <c r="E98" s="90">
        <f>'1-Hypothèses'!C$16</f>
        <v>0.95</v>
      </c>
      <c r="F98" s="92">
        <f>D98*E98*'1-Hypothèses'!B$5</f>
        <v>118.75</v>
      </c>
      <c r="G98" s="180" t="s">
        <v>215</v>
      </c>
      <c r="H98" s="91">
        <f>'Annexe - Volume'!G106+(H70*'1-Hypothèses'!B$21)</f>
        <v>18.360095248390408</v>
      </c>
      <c r="I98" s="128">
        <f>H98/E98/'1-Hypothèses'!B$5</f>
        <v>3.8652832101874544</v>
      </c>
      <c r="J98" s="90">
        <f t="shared" si="12"/>
        <v>0.15461132840749817</v>
      </c>
      <c r="K98" s="92">
        <f>'Annexe - Volume'!J106+(K70*'1-Hypothèses'!B$21)</f>
        <v>21.369423074773206</v>
      </c>
      <c r="L98" s="181">
        <f>K98/E98/'1-Hypothèses'!B$5</f>
        <v>4.4988259104785699</v>
      </c>
      <c r="M98" s="90">
        <f t="shared" si="13"/>
        <v>0.17995303641914279</v>
      </c>
      <c r="N98" s="122"/>
      <c r="O98" s="23">
        <f>'Annexe - Volume'!O106</f>
        <v>9.9708545540338918</v>
      </c>
      <c r="P98" s="23">
        <f>'Annexe - Volume'!O106</f>
        <v>9.9708545540338918</v>
      </c>
      <c r="Q98" s="23">
        <f t="shared" si="14"/>
        <v>36.720190496780816</v>
      </c>
      <c r="R98" s="23">
        <f t="shared" si="15"/>
        <v>42.738846149546411</v>
      </c>
    </row>
    <row r="99" spans="1:18" ht="29" customHeight="1" x14ac:dyDescent="0.3">
      <c r="A99" s="371"/>
      <c r="B99" s="365"/>
      <c r="C99" s="97" t="s">
        <v>154</v>
      </c>
      <c r="D99" s="97">
        <v>25</v>
      </c>
      <c r="E99" s="90">
        <f>'1-Hypothèses'!C$16</f>
        <v>0.95</v>
      </c>
      <c r="F99" s="92">
        <f>D99*E99*'1-Hypothèses'!B$5</f>
        <v>118.75</v>
      </c>
      <c r="G99" s="180" t="s">
        <v>215</v>
      </c>
      <c r="H99" s="91">
        <f>'Annexe - Volume'!G107+(H71*'1-Hypothèses'!B$21)</f>
        <v>16.259582362412427</v>
      </c>
      <c r="I99" s="128">
        <f>H99/E99/'1-Hypothèses'!B$5</f>
        <v>3.4230699710341952</v>
      </c>
      <c r="J99" s="90">
        <f t="shared" si="12"/>
        <v>0.13692279884136782</v>
      </c>
      <c r="K99" s="92">
        <f>'Annexe - Volume'!J107+(K71*'1-Hypothèses'!B$21)</f>
        <v>19.558618488621676</v>
      </c>
      <c r="L99" s="181">
        <f>K99/E99/'1-Hypothèses'!B$5</f>
        <v>4.1176038923414051</v>
      </c>
      <c r="M99" s="90">
        <f t="shared" si="13"/>
        <v>0.16470415569365621</v>
      </c>
      <c r="N99" s="122"/>
      <c r="O99" s="23">
        <f>'Annexe - Volume'!O107</f>
        <v>9.3708545540338903</v>
      </c>
      <c r="P99" s="23">
        <f>'Annexe - Volume'!O107</f>
        <v>9.3708545540338903</v>
      </c>
      <c r="Q99" s="23">
        <f t="shared" si="14"/>
        <v>32.519164724824854</v>
      </c>
      <c r="R99" s="23">
        <f t="shared" si="15"/>
        <v>39.117236977243351</v>
      </c>
    </row>
    <row r="100" spans="1:18" ht="36.5" customHeight="1" x14ac:dyDescent="0.3">
      <c r="A100" s="337" t="s">
        <v>120</v>
      </c>
      <c r="B100" s="379" t="s">
        <v>121</v>
      </c>
      <c r="C100" s="114" t="s">
        <v>116</v>
      </c>
      <c r="D100" s="7">
        <f>'1-Hypothèses'!B16</f>
        <v>25</v>
      </c>
      <c r="E100" s="39">
        <f>'1-Hypothèses'!C$16</f>
        <v>0.95</v>
      </c>
      <c r="F100" s="45">
        <f>D100*E100*'1-Hypothèses'!B$5</f>
        <v>118.75</v>
      </c>
      <c r="G100" s="32" t="s">
        <v>216</v>
      </c>
      <c r="H100" s="30">
        <v>6.1780641328440087</v>
      </c>
      <c r="I100" s="46">
        <f>H100/E100/'1-Hypothèses'!B$5</f>
        <v>1.3006450805987388</v>
      </c>
      <c r="J100" s="39">
        <f t="shared" si="12"/>
        <v>5.2025803223949556E-2</v>
      </c>
      <c r="K100" s="45">
        <f>'Annexe - Volume'!J108+(K72*'1-Hypothèses'!B$21)</f>
        <v>19.350116511027942</v>
      </c>
      <c r="L100" s="48">
        <f>K100/E100/'1-Hypothèses'!B$5</f>
        <v>4.0737087391637772</v>
      </c>
      <c r="M100" s="39">
        <f t="shared" si="13"/>
        <v>0.16294834956655108</v>
      </c>
      <c r="N100" s="116"/>
      <c r="O100" s="23">
        <f>'Annexe - Volume'!O108</f>
        <v>25.727658558191926</v>
      </c>
      <c r="P100" s="23">
        <f>'Annexe - Volume'!O108</f>
        <v>25.727658558191926</v>
      </c>
      <c r="Q100" s="23">
        <f t="shared" si="14"/>
        <v>12.356128265688017</v>
      </c>
      <c r="R100" s="23">
        <f t="shared" si="15"/>
        <v>38.700233022055883</v>
      </c>
    </row>
    <row r="101" spans="1:18" ht="36.5" customHeight="1" x14ac:dyDescent="0.3">
      <c r="A101" s="338"/>
      <c r="B101" s="379"/>
      <c r="C101" s="7" t="s">
        <v>117</v>
      </c>
      <c r="D101" s="7">
        <f>25*3</f>
        <v>75</v>
      </c>
      <c r="E101" s="39">
        <f>'1-Hypothèses'!C$16</f>
        <v>0.95</v>
      </c>
      <c r="F101" s="45">
        <f>D101*E101*'1-Hypothèses'!B$5</f>
        <v>356.25</v>
      </c>
      <c r="G101" s="32" t="s">
        <v>216</v>
      </c>
      <c r="H101" s="30">
        <v>6.1780641328440087</v>
      </c>
      <c r="I101" s="46">
        <f>H101/E101/'1-Hypothèses'!B$5</f>
        <v>1.3006450805987388</v>
      </c>
      <c r="J101" s="39">
        <f t="shared" si="12"/>
        <v>1.7341934407983185E-2</v>
      </c>
      <c r="K101" s="45">
        <f>'Annexe - Volume'!J109+(K73*'1-Hypothèses'!B$21)</f>
        <v>19.350116511027942</v>
      </c>
      <c r="L101" s="48">
        <f>K101/E101/'1-Hypothèses'!B$5</f>
        <v>4.0737087391637772</v>
      </c>
      <c r="M101" s="39">
        <f t="shared" si="13"/>
        <v>5.4316116522183697E-2</v>
      </c>
      <c r="N101" s="116"/>
      <c r="O101" s="23">
        <f>'Annexe - Volume'!O109</f>
        <v>25.727658558191926</v>
      </c>
      <c r="P101" s="23">
        <f>'Annexe - Volume'!O109</f>
        <v>25.727658558191926</v>
      </c>
      <c r="Q101" s="23">
        <f t="shared" si="14"/>
        <v>12.356128265688017</v>
      </c>
      <c r="R101" s="23">
        <f t="shared" si="15"/>
        <v>38.700233022055883</v>
      </c>
    </row>
    <row r="102" spans="1:18" ht="36.5" customHeight="1" x14ac:dyDescent="0.3">
      <c r="A102" s="338"/>
      <c r="B102" s="379"/>
      <c r="C102" s="114" t="s">
        <v>118</v>
      </c>
      <c r="D102" s="68">
        <v>24</v>
      </c>
      <c r="E102" s="39">
        <f>'1-Hypothèses'!C$16</f>
        <v>0.95</v>
      </c>
      <c r="F102" s="45">
        <f>D102*E102*'1-Hypothèses'!B$5</f>
        <v>113.99999999999999</v>
      </c>
      <c r="G102" s="32" t="s">
        <v>216</v>
      </c>
      <c r="H102" s="30">
        <v>6.1780641328440087</v>
      </c>
      <c r="I102" s="46">
        <f>H102/E102/'1-Hypothèses'!B$5</f>
        <v>1.3006450805987388</v>
      </c>
      <c r="J102" s="39">
        <f t="shared" si="12"/>
        <v>5.419354502494745E-2</v>
      </c>
      <c r="K102" s="45">
        <f>'Annexe - Volume'!J110+(K74*'1-Hypothèses'!B$21)</f>
        <v>19.350116511027942</v>
      </c>
      <c r="L102" s="48">
        <f>K102/E102/'1-Hypothèses'!B$5</f>
        <v>4.0737087391637772</v>
      </c>
      <c r="M102" s="39">
        <f t="shared" si="13"/>
        <v>0.16973786413182404</v>
      </c>
      <c r="N102" s="116"/>
      <c r="O102" s="23">
        <f>'Annexe - Volume'!O110</f>
        <v>25.727658558191926</v>
      </c>
      <c r="P102" s="23">
        <f>'Annexe - Volume'!O110</f>
        <v>25.727658558191926</v>
      </c>
      <c r="Q102" s="23">
        <f t="shared" si="14"/>
        <v>12.356128265688017</v>
      </c>
      <c r="R102" s="23">
        <f t="shared" si="15"/>
        <v>38.700233022055883</v>
      </c>
    </row>
    <row r="103" spans="1:18" ht="36.5" customHeight="1" x14ac:dyDescent="0.3">
      <c r="A103" s="338"/>
      <c r="B103" s="379"/>
      <c r="C103" s="7" t="s">
        <v>119</v>
      </c>
      <c r="D103" s="7">
        <v>24</v>
      </c>
      <c r="E103" s="39">
        <f>'1-Hypothèses'!C$16</f>
        <v>0.95</v>
      </c>
      <c r="F103" s="45">
        <f>D103*E103*'1-Hypothèses'!B$5</f>
        <v>113.99999999999999</v>
      </c>
      <c r="G103" s="32" t="s">
        <v>216</v>
      </c>
      <c r="H103" s="30">
        <v>6.1780641328440087</v>
      </c>
      <c r="I103" s="46">
        <f>H103/E103/'1-Hypothèses'!B$5</f>
        <v>1.3006450805987388</v>
      </c>
      <c r="J103" s="39">
        <f t="shared" si="12"/>
        <v>5.419354502494745E-2</v>
      </c>
      <c r="K103" s="45">
        <f>'Annexe - Volume'!J111+(K75*'1-Hypothèses'!B$21)</f>
        <v>19.350116511027942</v>
      </c>
      <c r="L103" s="48">
        <f>K103/E103/'1-Hypothèses'!B$5</f>
        <v>4.0737087391637772</v>
      </c>
      <c r="M103" s="39">
        <f t="shared" si="13"/>
        <v>0.16973786413182404</v>
      </c>
      <c r="N103" s="116"/>
      <c r="O103" s="23">
        <f>'Annexe - Volume'!O111</f>
        <v>25.727658558191926</v>
      </c>
      <c r="P103" s="23">
        <f>'Annexe - Volume'!O111</f>
        <v>25.727658558191926</v>
      </c>
      <c r="Q103" s="23">
        <f t="shared" si="14"/>
        <v>12.356128265688017</v>
      </c>
      <c r="R103" s="23">
        <f t="shared" si="15"/>
        <v>38.700233022055883</v>
      </c>
    </row>
    <row r="104" spans="1:18" ht="42" customHeight="1" x14ac:dyDescent="0.3">
      <c r="A104" s="339"/>
      <c r="B104" s="94" t="s">
        <v>341</v>
      </c>
      <c r="C104" s="7" t="s">
        <v>342</v>
      </c>
      <c r="D104" s="7">
        <v>54</v>
      </c>
      <c r="E104" s="39">
        <f>'1-Hypothèses'!C$16</f>
        <v>0.95</v>
      </c>
      <c r="F104" s="45">
        <f>D104*E104*'1-Hypothèses'!B$5</f>
        <v>256.5</v>
      </c>
      <c r="G104" s="32" t="s">
        <v>216</v>
      </c>
      <c r="H104" s="30">
        <v>6.1780641328440087</v>
      </c>
      <c r="I104" s="46">
        <f>H104/E104/'1-Hypothèses'!B$5</f>
        <v>1.3006450805987388</v>
      </c>
      <c r="J104" s="39">
        <f t="shared" si="12"/>
        <v>2.4086020011087755E-2</v>
      </c>
      <c r="K104" s="45">
        <f>'Annexe - Volume'!J113+(K76*'1-Hypothèses'!B$21)</f>
        <v>27.684024787997394</v>
      </c>
      <c r="L104" s="48">
        <f>K104/E104/'1-Hypothèses'!B$5</f>
        <v>5.8282157448415566</v>
      </c>
      <c r="M104" s="39">
        <f t="shared" si="13"/>
        <v>0.10792992120076957</v>
      </c>
      <c r="N104" s="116"/>
      <c r="O104" s="23">
        <f>'Annexe - Volume'!O112</f>
        <v>25.727658558191926</v>
      </c>
      <c r="P104" s="23">
        <f>'Annexe - Volume'!O112</f>
        <v>25.727658558191926</v>
      </c>
      <c r="Q104" s="23">
        <f t="shared" si="14"/>
        <v>12.356128265688017</v>
      </c>
      <c r="R104" s="23">
        <f t="shared" si="15"/>
        <v>55.368049575994789</v>
      </c>
    </row>
    <row r="105" spans="1:18" ht="28" x14ac:dyDescent="0.3">
      <c r="A105" s="365" t="s">
        <v>122</v>
      </c>
      <c r="B105" s="380" t="s">
        <v>123</v>
      </c>
      <c r="C105" s="97" t="s">
        <v>124</v>
      </c>
      <c r="D105" s="97">
        <f>'1-Hypothèses'!B16</f>
        <v>25</v>
      </c>
      <c r="E105" s="90">
        <f>'1-Hypothèses'!C$16</f>
        <v>0.95</v>
      </c>
      <c r="F105" s="92">
        <f>D105*E105*'1-Hypothèses'!B$5</f>
        <v>118.75</v>
      </c>
      <c r="G105" s="180" t="s">
        <v>171</v>
      </c>
      <c r="H105" s="91">
        <f>'Annexe - Volume'!G113</f>
        <v>17.857174168297455</v>
      </c>
      <c r="I105" s="128">
        <f>H105/E105/'1-Hypothèses'!B$5</f>
        <v>3.7594050880626222</v>
      </c>
      <c r="J105" s="90">
        <f t="shared" si="12"/>
        <v>0.15037620352250489</v>
      </c>
      <c r="K105" s="92">
        <f>'Annexe - Volume'!J113</f>
        <v>26.334024787997393</v>
      </c>
      <c r="L105" s="181">
        <f>K105/E105/'1-Hypothèses'!B$5</f>
        <v>5.5440052185257667</v>
      </c>
      <c r="M105" s="90">
        <f t="shared" si="13"/>
        <v>0.22176020874103067</v>
      </c>
      <c r="N105" s="122"/>
      <c r="O105" s="23">
        <f>'Annexe - Volume'!O113</f>
        <v>61.537095890410967</v>
      </c>
      <c r="P105" s="23">
        <f>'Annexe - Volume'!O113</f>
        <v>61.537095890410967</v>
      </c>
      <c r="Q105" s="23">
        <f t="shared" si="14"/>
        <v>35.714348336594909</v>
      </c>
      <c r="R105" s="23">
        <f t="shared" si="15"/>
        <v>52.668049575994786</v>
      </c>
    </row>
    <row r="106" spans="1:18" ht="28" x14ac:dyDescent="0.3">
      <c r="A106" s="365"/>
      <c r="B106" s="380"/>
      <c r="C106" s="97" t="s">
        <v>125</v>
      </c>
      <c r="D106" s="97">
        <v>20</v>
      </c>
      <c r="E106" s="90">
        <f>'1-Hypothèses'!C$16</f>
        <v>0.95</v>
      </c>
      <c r="F106" s="92">
        <f>D106*E106*'1-Hypothèses'!B$5</f>
        <v>95</v>
      </c>
      <c r="G106" s="180" t="s">
        <v>219</v>
      </c>
      <c r="H106" s="91">
        <f>'Annexe - Volume'!G114</f>
        <v>17.857174168297455</v>
      </c>
      <c r="I106" s="128">
        <f>H106/E106/'1-Hypothèses'!B$5</f>
        <v>3.7594050880626222</v>
      </c>
      <c r="J106" s="90">
        <f t="shared" si="12"/>
        <v>0.18797025440313112</v>
      </c>
      <c r="K106" s="92">
        <f>'Annexe - Volume'!J114</f>
        <v>26.334024787997393</v>
      </c>
      <c r="L106" s="181">
        <f>K106/E106/'1-Hypothèses'!B$5</f>
        <v>5.5440052185257667</v>
      </c>
      <c r="M106" s="90">
        <f t="shared" si="13"/>
        <v>0.27720026092628836</v>
      </c>
      <c r="N106" s="122"/>
      <c r="O106" s="23">
        <f>'Annexe - Volume'!O114</f>
        <v>61.537095890410967</v>
      </c>
      <c r="P106" s="23">
        <f>'Annexe - Volume'!O114</f>
        <v>61.537095890410967</v>
      </c>
      <c r="Q106" s="23">
        <f t="shared" si="14"/>
        <v>35.714348336594909</v>
      </c>
      <c r="R106" s="23">
        <f t="shared" si="15"/>
        <v>52.668049575994786</v>
      </c>
    </row>
    <row r="107" spans="1:18" ht="28" x14ac:dyDescent="0.3">
      <c r="A107" s="365"/>
      <c r="B107" s="380"/>
      <c r="C107" s="97" t="s">
        <v>126</v>
      </c>
      <c r="D107" s="123">
        <v>9</v>
      </c>
      <c r="E107" s="90">
        <f>'1-Hypothèses'!C$16</f>
        <v>0.95</v>
      </c>
      <c r="F107" s="92">
        <f>D107*E107*'1-Hypothèses'!B$5</f>
        <v>42.749999999999993</v>
      </c>
      <c r="G107" s="180" t="s">
        <v>219</v>
      </c>
      <c r="H107" s="91">
        <f>'Annexe - Volume'!G115</f>
        <v>17.857174168297455</v>
      </c>
      <c r="I107" s="128">
        <f>H107/E107/'1-Hypothèses'!B$5</f>
        <v>3.7594050880626222</v>
      </c>
      <c r="J107" s="90">
        <f t="shared" si="12"/>
        <v>0.41771167645140245</v>
      </c>
      <c r="K107" s="92">
        <f>'Annexe - Volume'!J115</f>
        <v>26.334024787997393</v>
      </c>
      <c r="L107" s="181">
        <f>K107/E107/'1-Hypothèses'!B$5</f>
        <v>5.5440052185257667</v>
      </c>
      <c r="M107" s="90">
        <f t="shared" si="13"/>
        <v>0.61600057983619627</v>
      </c>
      <c r="N107" s="122"/>
      <c r="O107" s="23">
        <f>'Annexe - Volume'!O115</f>
        <v>61.537095890410967</v>
      </c>
      <c r="P107" s="23">
        <f>'Annexe - Volume'!O115</f>
        <v>61.537095890410967</v>
      </c>
      <c r="Q107" s="23">
        <f t="shared" si="14"/>
        <v>35.714348336594909</v>
      </c>
      <c r="R107" s="23">
        <f t="shared" si="15"/>
        <v>52.668049575994786</v>
      </c>
    </row>
    <row r="108" spans="1:18" ht="56" x14ac:dyDescent="0.3">
      <c r="A108" s="303" t="s">
        <v>221</v>
      </c>
      <c r="B108" s="381" t="s">
        <v>138</v>
      </c>
      <c r="C108" s="7" t="s">
        <v>162</v>
      </c>
      <c r="D108" s="7">
        <v>28</v>
      </c>
      <c r="E108" s="39">
        <f>'1-Hypothèses'!C$16</f>
        <v>0.95</v>
      </c>
      <c r="F108" s="45">
        <f>D108*E108*'1-Hypothèses'!B$5</f>
        <v>133</v>
      </c>
      <c r="G108" s="10" t="s">
        <v>173</v>
      </c>
      <c r="H108" s="30">
        <f>'Annexe - Volume'!G116</f>
        <v>12.167806413284401</v>
      </c>
      <c r="I108" s="46">
        <f>H108/E108/'1-Hypothèses'!B$5</f>
        <v>2.5616434554282952</v>
      </c>
      <c r="J108" s="39">
        <f t="shared" si="12"/>
        <v>9.1487266265296255E-2</v>
      </c>
      <c r="K108" s="45">
        <f>'Annexe - Volume'!J116</f>
        <v>13.005011651102794</v>
      </c>
      <c r="L108" s="48">
        <f>K108/E108/'1-Hypothèses'!B$5</f>
        <v>2.7378971897058517</v>
      </c>
      <c r="M108" s="39">
        <f t="shared" si="13"/>
        <v>9.7782042489494708E-2</v>
      </c>
      <c r="N108" s="122"/>
      <c r="O108" s="23">
        <f>'Annexe - Volume'!O116</f>
        <v>4.522765855819193</v>
      </c>
      <c r="P108" s="23">
        <f>'Annexe - Volume'!O116</f>
        <v>4.522765855819193</v>
      </c>
      <c r="Q108" s="23">
        <f t="shared" si="14"/>
        <v>24.335612826568806</v>
      </c>
      <c r="R108" s="23">
        <f t="shared" si="15"/>
        <v>26.010023302205589</v>
      </c>
    </row>
    <row r="109" spans="1:18" ht="28" x14ac:dyDescent="0.3">
      <c r="A109" s="303"/>
      <c r="B109" s="381"/>
      <c r="C109" s="7" t="s">
        <v>137</v>
      </c>
      <c r="D109" s="41">
        <v>60</v>
      </c>
      <c r="E109" s="39">
        <f>'1-Hypothèses'!C$16</f>
        <v>0.95</v>
      </c>
      <c r="F109" s="45">
        <f>D109*E109*'1-Hypothèses'!B$5</f>
        <v>285</v>
      </c>
      <c r="G109" s="10" t="s">
        <v>173</v>
      </c>
      <c r="H109" s="30">
        <f>'Annexe - Volume'!G117</f>
        <v>12.167806413284401</v>
      </c>
      <c r="I109" s="46">
        <f>H109/E109/'1-Hypothèses'!B$5</f>
        <v>2.5616434554282952</v>
      </c>
      <c r="J109" s="39">
        <f t="shared" si="12"/>
        <v>4.2694057590471589E-2</v>
      </c>
      <c r="K109" s="45">
        <f>'Annexe - Volume'!J117</f>
        <v>13.005011651102794</v>
      </c>
      <c r="L109" s="48">
        <f>K109/E109/'1-Hypothèses'!B$5</f>
        <v>2.7378971897058517</v>
      </c>
      <c r="M109" s="39">
        <f t="shared" si="13"/>
        <v>4.5631619828430864E-2</v>
      </c>
      <c r="N109" s="122"/>
      <c r="O109" s="23">
        <f>'Annexe - Volume'!O117</f>
        <v>4.522765855819193</v>
      </c>
      <c r="P109" s="23">
        <f>'Annexe - Volume'!O117</f>
        <v>4.522765855819193</v>
      </c>
      <c r="Q109" s="23">
        <f t="shared" si="14"/>
        <v>24.335612826568806</v>
      </c>
      <c r="R109" s="23">
        <f t="shared" si="15"/>
        <v>26.010023302205589</v>
      </c>
    </row>
    <row r="110" spans="1:18" ht="29" x14ac:dyDescent="0.3">
      <c r="A110" s="303"/>
      <c r="B110" s="381"/>
      <c r="C110" s="114" t="s">
        <v>128</v>
      </c>
      <c r="D110" s="41">
        <f>'1-Hypothèses'!B$16</f>
        <v>25</v>
      </c>
      <c r="E110" s="39">
        <f>'1-Hypothèses'!C$16</f>
        <v>0.95</v>
      </c>
      <c r="F110" s="45">
        <f>D110*E110*'1-Hypothèses'!B$5</f>
        <v>118.75</v>
      </c>
      <c r="G110" s="10" t="s">
        <v>173</v>
      </c>
      <c r="H110" s="30">
        <f>'Annexe - Volume'!G118</f>
        <v>12.167806413284401</v>
      </c>
      <c r="I110" s="46">
        <f>H110/E110/'1-Hypothèses'!B$5</f>
        <v>2.5616434554282952</v>
      </c>
      <c r="J110" s="39">
        <f t="shared" si="12"/>
        <v>0.10246573821713181</v>
      </c>
      <c r="K110" s="45">
        <f>'Annexe - Volume'!J118</f>
        <v>13.005011651102794</v>
      </c>
      <c r="L110" s="48">
        <f>K110/E110/'1-Hypothèses'!B$5</f>
        <v>2.7378971897058517</v>
      </c>
      <c r="M110" s="39">
        <f t="shared" si="13"/>
        <v>0.10951588758823406</v>
      </c>
      <c r="N110" s="122"/>
      <c r="O110" s="23">
        <f>'Annexe - Volume'!O118</f>
        <v>4.522765855819193</v>
      </c>
      <c r="P110" s="23">
        <f>'Annexe - Volume'!O118</f>
        <v>4.522765855819193</v>
      </c>
      <c r="Q110" s="23">
        <f t="shared" si="14"/>
        <v>24.335612826568806</v>
      </c>
      <c r="R110" s="23">
        <f t="shared" si="15"/>
        <v>26.010023302205589</v>
      </c>
    </row>
    <row r="111" spans="1:18" ht="29" x14ac:dyDescent="0.3">
      <c r="A111" s="303"/>
      <c r="B111" s="381"/>
      <c r="C111" s="114" t="s">
        <v>129</v>
      </c>
      <c r="D111" s="41">
        <v>230</v>
      </c>
      <c r="E111" s="39">
        <f>'1-Hypothèses'!C$16</f>
        <v>0.95</v>
      </c>
      <c r="F111" s="45">
        <f>D111*E111*'1-Hypothèses'!B$5</f>
        <v>1092.5</v>
      </c>
      <c r="G111" s="10" t="s">
        <v>173</v>
      </c>
      <c r="H111" s="30">
        <f>'Annexe - Volume'!G119</f>
        <v>12.167806413284401</v>
      </c>
      <c r="I111" s="46">
        <f>H111/E111/'1-Hypothèses'!B$5</f>
        <v>2.5616434554282952</v>
      </c>
      <c r="J111" s="39">
        <f t="shared" si="12"/>
        <v>1.1137580240992588E-2</v>
      </c>
      <c r="K111" s="45">
        <f>'Annexe - Volume'!J119</f>
        <v>13.005011651102794</v>
      </c>
      <c r="L111" s="48">
        <f>K111/E111/'1-Hypothèses'!B$5</f>
        <v>2.7378971897058517</v>
      </c>
      <c r="M111" s="39">
        <f t="shared" si="13"/>
        <v>1.190390082480805E-2</v>
      </c>
      <c r="N111" s="122"/>
      <c r="O111" s="23">
        <f>'Annexe - Volume'!O119</f>
        <v>4.522765855819193</v>
      </c>
      <c r="P111" s="23">
        <f>'Annexe - Volume'!O119</f>
        <v>4.522765855819193</v>
      </c>
      <c r="Q111" s="23">
        <f t="shared" si="14"/>
        <v>24.335612826568806</v>
      </c>
      <c r="R111" s="23">
        <f t="shared" si="15"/>
        <v>26.010023302205589</v>
      </c>
    </row>
    <row r="112" spans="1:18" ht="29" x14ac:dyDescent="0.3">
      <c r="A112" s="303"/>
      <c r="B112" s="381"/>
      <c r="C112" s="114" t="s">
        <v>130</v>
      </c>
      <c r="D112" s="41">
        <f>'1-Hypothèses'!B$16</f>
        <v>25</v>
      </c>
      <c r="E112" s="39">
        <f>'1-Hypothèses'!C$16</f>
        <v>0.95</v>
      </c>
      <c r="F112" s="45">
        <f>D112*E112*'1-Hypothèses'!B$5</f>
        <v>118.75</v>
      </c>
      <c r="G112" s="10" t="s">
        <v>173</v>
      </c>
      <c r="H112" s="30">
        <f>'Annexe - Volume'!G120</f>
        <v>13.335717416829747</v>
      </c>
      <c r="I112" s="46">
        <f>H112/E112/'1-Hypothèses'!B$5</f>
        <v>2.8075194561746839</v>
      </c>
      <c r="J112" s="39">
        <f t="shared" si="12"/>
        <v>0.11230077824698735</v>
      </c>
      <c r="K112" s="45">
        <f>'Annexe - Volume'!J120</f>
        <v>14.183402478799742</v>
      </c>
      <c r="L112" s="48">
        <f>K112/E112/'1-Hypothèses'!B$5</f>
        <v>2.9859794692209984</v>
      </c>
      <c r="M112" s="39">
        <f t="shared" si="13"/>
        <v>0.11943917876883994</v>
      </c>
      <c r="N112" s="122"/>
      <c r="O112" s="23">
        <f>'Annexe - Volume'!O120</f>
        <v>4.522765855819193</v>
      </c>
      <c r="P112" s="23">
        <f>'Annexe - Volume'!O120</f>
        <v>4.522765855819193</v>
      </c>
      <c r="Q112" s="23">
        <f t="shared" si="14"/>
        <v>26.671434833659497</v>
      </c>
      <c r="R112" s="23">
        <f t="shared" si="15"/>
        <v>28.366804957599484</v>
      </c>
    </row>
    <row r="113" spans="1:18" ht="28" x14ac:dyDescent="0.3">
      <c r="A113" s="365" t="s">
        <v>147</v>
      </c>
      <c r="B113" s="365" t="s">
        <v>163</v>
      </c>
      <c r="C113" s="97" t="s">
        <v>143</v>
      </c>
      <c r="D113" s="93">
        <f>'1-Hypothèses'!B$16</f>
        <v>25</v>
      </c>
      <c r="E113" s="90">
        <f>'1-Hypothèses'!C$16</f>
        <v>0.95</v>
      </c>
      <c r="F113" s="92">
        <f>D113*E113*'1-Hypothèses'!B$5</f>
        <v>118.75</v>
      </c>
      <c r="G113" s="180" t="s">
        <v>173</v>
      </c>
      <c r="H113" s="91">
        <f>'Annexe - Volume'!G121</f>
        <v>48</v>
      </c>
      <c r="I113" s="128">
        <f>H113/E113/'1-Hypothèses'!B$5</f>
        <v>10.105263157894736</v>
      </c>
      <c r="J113" s="90">
        <f t="shared" si="12"/>
        <v>0.40421052631578946</v>
      </c>
      <c r="K113" s="92">
        <f>'Annexe - Volume'!J121</f>
        <v>48</v>
      </c>
      <c r="L113" s="181">
        <f>K113/E113/'1-Hypothèses'!B$5</f>
        <v>10.105263157894736</v>
      </c>
      <c r="M113" s="90">
        <f t="shared" si="13"/>
        <v>0.40421052631578946</v>
      </c>
      <c r="N113" s="116"/>
      <c r="O113" s="23">
        <f>'Annexe - Volume'!O121</f>
        <v>12</v>
      </c>
      <c r="P113" s="23">
        <f>'Annexe - Volume'!O121</f>
        <v>12</v>
      </c>
      <c r="Q113" s="23">
        <f t="shared" si="14"/>
        <v>96</v>
      </c>
      <c r="R113" s="23">
        <f t="shared" si="15"/>
        <v>96</v>
      </c>
    </row>
    <row r="114" spans="1:18" ht="14.5" x14ac:dyDescent="0.3">
      <c r="A114" s="365"/>
      <c r="B114" s="365"/>
      <c r="C114" s="134" t="s">
        <v>116</v>
      </c>
      <c r="D114" s="93">
        <f>'1-Hypothèses'!B$16</f>
        <v>25</v>
      </c>
      <c r="E114" s="90">
        <f>'1-Hypothèses'!C$16</f>
        <v>0.95</v>
      </c>
      <c r="F114" s="92">
        <f>D114*E114*'1-Hypothèses'!B$5</f>
        <v>118.75</v>
      </c>
      <c r="G114" s="180" t="s">
        <v>173</v>
      </c>
      <c r="H114" s="91">
        <f>'Annexe - Volume'!G122</f>
        <v>48</v>
      </c>
      <c r="I114" s="128">
        <f>H114/E114/'1-Hypothèses'!B$5</f>
        <v>10.105263157894736</v>
      </c>
      <c r="J114" s="90">
        <f t="shared" si="12"/>
        <v>0.40421052631578946</v>
      </c>
      <c r="K114" s="92">
        <f>'Annexe - Volume'!J122</f>
        <v>48</v>
      </c>
      <c r="L114" s="181">
        <f>K114/E114/'1-Hypothèses'!B$5</f>
        <v>10.105263157894736</v>
      </c>
      <c r="M114" s="90">
        <f t="shared" si="13"/>
        <v>0.40421052631578946</v>
      </c>
      <c r="N114" s="116"/>
      <c r="O114" s="23">
        <f>'Annexe - Volume'!O122</f>
        <v>12</v>
      </c>
      <c r="P114" s="23">
        <f>'Annexe - Volume'!O122</f>
        <v>12</v>
      </c>
      <c r="Q114" s="23">
        <f t="shared" si="14"/>
        <v>96</v>
      </c>
      <c r="R114" s="23">
        <f t="shared" si="15"/>
        <v>96</v>
      </c>
    </row>
    <row r="115" spans="1:18" ht="28" x14ac:dyDescent="0.3">
      <c r="A115" s="365"/>
      <c r="B115" s="365"/>
      <c r="C115" s="97" t="s">
        <v>150</v>
      </c>
      <c r="D115" s="93">
        <v>34</v>
      </c>
      <c r="E115" s="90">
        <f>'1-Hypothèses'!C$16</f>
        <v>0.95</v>
      </c>
      <c r="F115" s="92">
        <f>D115*E115*'1-Hypothèses'!B$5</f>
        <v>161.5</v>
      </c>
      <c r="G115" s="180" t="s">
        <v>173</v>
      </c>
      <c r="H115" s="91">
        <f>'Annexe - Volume'!G123</f>
        <v>48</v>
      </c>
      <c r="I115" s="128">
        <f>H115/E115/'1-Hypothèses'!B$5</f>
        <v>10.105263157894736</v>
      </c>
      <c r="J115" s="90">
        <f t="shared" si="12"/>
        <v>0.29721362229102166</v>
      </c>
      <c r="K115" s="92">
        <f>'Annexe - Volume'!J123</f>
        <v>48</v>
      </c>
      <c r="L115" s="181">
        <f>K115/E115/'1-Hypothèses'!B$5</f>
        <v>10.105263157894736</v>
      </c>
      <c r="M115" s="90">
        <f t="shared" si="13"/>
        <v>0.29721362229102166</v>
      </c>
      <c r="N115" s="116"/>
      <c r="O115" s="23">
        <f>'Annexe - Volume'!O123</f>
        <v>12</v>
      </c>
      <c r="P115" s="23">
        <f>'Annexe - Volume'!O123</f>
        <v>12</v>
      </c>
      <c r="Q115" s="23">
        <f t="shared" si="14"/>
        <v>96</v>
      </c>
      <c r="R115" s="23">
        <f t="shared" si="15"/>
        <v>96</v>
      </c>
    </row>
    <row r="116" spans="1:18" x14ac:dyDescent="0.3">
      <c r="A116" s="365"/>
      <c r="B116" s="365"/>
      <c r="C116" s="93" t="s">
        <v>126</v>
      </c>
      <c r="D116" s="93">
        <v>9</v>
      </c>
      <c r="E116" s="90">
        <f>'1-Hypothèses'!C$16</f>
        <v>0.95</v>
      </c>
      <c r="F116" s="92">
        <f>D116*E116*'1-Hypothèses'!B$5</f>
        <v>42.749999999999993</v>
      </c>
      <c r="G116" s="180" t="s">
        <v>173</v>
      </c>
      <c r="H116" s="91">
        <f>'Annexe - Volume'!G124</f>
        <v>48</v>
      </c>
      <c r="I116" s="128">
        <f>H116/E116/'1-Hypothèses'!B$5</f>
        <v>10.105263157894736</v>
      </c>
      <c r="J116" s="90">
        <f t="shared" si="12"/>
        <v>1.1228070175438596</v>
      </c>
      <c r="K116" s="92">
        <f>'Annexe - Volume'!J124</f>
        <v>48</v>
      </c>
      <c r="L116" s="181">
        <f>K116/E116/'1-Hypothèses'!B$5</f>
        <v>10.105263157894736</v>
      </c>
      <c r="M116" s="90">
        <f t="shared" si="13"/>
        <v>1.1228070175438596</v>
      </c>
      <c r="N116" s="116"/>
      <c r="O116" s="23">
        <f>'Annexe - Volume'!O124</f>
        <v>12</v>
      </c>
      <c r="P116" s="23">
        <f>'Annexe - Volume'!O124</f>
        <v>12</v>
      </c>
      <c r="Q116" s="23">
        <f t="shared" si="14"/>
        <v>96</v>
      </c>
      <c r="R116" s="23">
        <f t="shared" si="15"/>
        <v>96</v>
      </c>
    </row>
    <row r="117" spans="1:18" x14ac:dyDescent="0.3">
      <c r="B117" s="143"/>
      <c r="P117" s="62"/>
    </row>
    <row r="118" spans="1:18" x14ac:dyDescent="0.3">
      <c r="A118"/>
      <c r="B118"/>
    </row>
    <row r="119" spans="1:18" x14ac:dyDescent="0.3">
      <c r="A119"/>
      <c r="B119"/>
    </row>
    <row r="120" spans="1:18" x14ac:dyDescent="0.3">
      <c r="A120"/>
      <c r="B120"/>
    </row>
    <row r="122" spans="1:18" x14ac:dyDescent="0.3">
      <c r="A122"/>
      <c r="B122"/>
    </row>
    <row r="123" spans="1:18" x14ac:dyDescent="0.3">
      <c r="A123"/>
      <c r="B123"/>
    </row>
    <row r="124" spans="1:18" x14ac:dyDescent="0.3">
      <c r="A124"/>
      <c r="B124"/>
    </row>
  </sheetData>
  <mergeCells count="72">
    <mergeCell ref="N1:N2"/>
    <mergeCell ref="A19:A23"/>
    <mergeCell ref="B19:B23"/>
    <mergeCell ref="A15:A18"/>
    <mergeCell ref="B15:B18"/>
    <mergeCell ref="H1:J1"/>
    <mergeCell ref="K1:M1"/>
    <mergeCell ref="A4:A5"/>
    <mergeCell ref="B4:B5"/>
    <mergeCell ref="A6:A7"/>
    <mergeCell ref="B6:B7"/>
    <mergeCell ref="B8:B9"/>
    <mergeCell ref="A3:R3"/>
    <mergeCell ref="B1:B2"/>
    <mergeCell ref="A10:A12"/>
    <mergeCell ref="B10:B12"/>
    <mergeCell ref="G1:G2"/>
    <mergeCell ref="A100:A104"/>
    <mergeCell ref="B95:B99"/>
    <mergeCell ref="B54:B57"/>
    <mergeCell ref="B58:B60"/>
    <mergeCell ref="A43:A44"/>
    <mergeCell ref="B43:B44"/>
    <mergeCell ref="B45:B47"/>
    <mergeCell ref="A45:A47"/>
    <mergeCell ref="A58:A60"/>
    <mergeCell ref="A49:A53"/>
    <mergeCell ref="B49:B53"/>
    <mergeCell ref="A54:A57"/>
    <mergeCell ref="A61:A65"/>
    <mergeCell ref="A66:R66"/>
    <mergeCell ref="B29:B31"/>
    <mergeCell ref="A113:A116"/>
    <mergeCell ref="B113:B116"/>
    <mergeCell ref="A108:A112"/>
    <mergeCell ref="B108:B112"/>
    <mergeCell ref="A1:A2"/>
    <mergeCell ref="A29:A32"/>
    <mergeCell ref="A14:R14"/>
    <mergeCell ref="B24:B26"/>
    <mergeCell ref="B27:B28"/>
    <mergeCell ref="A27:A28"/>
    <mergeCell ref="A67:A69"/>
    <mergeCell ref="B67:B69"/>
    <mergeCell ref="B100:B103"/>
    <mergeCell ref="A105:A107"/>
    <mergeCell ref="B105:B107"/>
    <mergeCell ref="A82:A87"/>
    <mergeCell ref="A88:A94"/>
    <mergeCell ref="B88:B94"/>
    <mergeCell ref="B82:B87"/>
    <mergeCell ref="A95:A99"/>
    <mergeCell ref="B80:B81"/>
    <mergeCell ref="B70:B75"/>
    <mergeCell ref="A76:A81"/>
    <mergeCell ref="B76:B79"/>
    <mergeCell ref="A41:A42"/>
    <mergeCell ref="B41:B42"/>
    <mergeCell ref="B61:B65"/>
    <mergeCell ref="A70:A75"/>
    <mergeCell ref="F1:F2"/>
    <mergeCell ref="E1:E2"/>
    <mergeCell ref="D1:D2"/>
    <mergeCell ref="C1:C2"/>
    <mergeCell ref="A39:A40"/>
    <mergeCell ref="B39:B40"/>
    <mergeCell ref="A8:A9"/>
    <mergeCell ref="A33:A35"/>
    <mergeCell ref="B33:B35"/>
    <mergeCell ref="A36:A38"/>
    <mergeCell ref="B36:B38"/>
    <mergeCell ref="A24:A26"/>
  </mergeCells>
  <phoneticPr fontId="3" type="noConversion"/>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1-Hypothèses</vt:lpstr>
      <vt:lpstr>2- Contenu des modules </vt:lpstr>
      <vt:lpstr>3-Catalogue - Volume</vt:lpstr>
      <vt:lpstr>4-Catalogue - Adaptation</vt:lpstr>
      <vt:lpstr> 5-Ambition 4</vt:lpstr>
      <vt:lpstr>Annexe - Volume</vt:lpstr>
      <vt:lpstr>Annexe - Contenu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Solene PIGNE</dc:creator>
  <cp:lastModifiedBy>Solène PIGNE</cp:lastModifiedBy>
  <dcterms:created xsi:type="dcterms:W3CDTF">2023-03-15T17:31:48Z</dcterms:created>
  <dcterms:modified xsi:type="dcterms:W3CDTF">2023-05-25T12:40:40Z</dcterms:modified>
</cp:coreProperties>
</file>